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bc\ldv\Documents\Лахтионов\ДОУ на 250 мест\отделка\тендер 1, 2, 3 этажи\"/>
    </mc:Choice>
  </mc:AlternateContent>
  <xr:revisionPtr revIDLastSave="0" documentId="13_ncr:1_{9559CD9B-CB3B-4E8A-824F-85756AAF7194}" xr6:coauthVersionLast="47" xr6:coauthVersionMax="47" xr10:uidLastSave="{00000000-0000-0000-0000-000000000000}"/>
  <bookViews>
    <workbookView xWindow="-120" yWindow="-120" windowWidth="38640" windowHeight="23520" tabRatio="796" xr2:uid="{00000000-000D-0000-FFFF-FFFF00000000}"/>
  </bookViews>
  <sheets>
    <sheet name="ДОУ 6 кв" sheetId="6" r:id="rId1"/>
    <sheet name="ИТОГО" sheetId="5" r:id="rId2"/>
  </sheets>
  <definedNames>
    <definedName name="_xlnm.Print_Area" localSheetId="0">'ДОУ 6 кв'!$A$1:$AW$79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46" i="6" l="1"/>
  <c r="R61" i="6"/>
  <c r="H61" i="6"/>
  <c r="AQ37" i="6" l="1"/>
  <c r="AQ11" i="6"/>
  <c r="AQ13" i="6"/>
  <c r="AQ14" i="6"/>
  <c r="AQ18" i="6"/>
  <c r="AQ19" i="6"/>
  <c r="AQ20" i="6"/>
  <c r="AQ28" i="6"/>
  <c r="AQ26" i="6" s="1"/>
  <c r="AQ29" i="6"/>
  <c r="AQ30" i="6"/>
  <c r="AQ34" i="6"/>
  <c r="AQ31" i="6" s="1"/>
  <c r="AQ35" i="6"/>
  <c r="AQ36" i="6"/>
  <c r="AQ38" i="6"/>
  <c r="AQ41" i="6"/>
  <c r="AQ39" i="6" s="1"/>
  <c r="AQ42" i="6"/>
  <c r="AQ43" i="6"/>
  <c r="AQ47" i="6"/>
  <c r="AQ48" i="6"/>
  <c r="AQ49" i="6"/>
  <c r="AQ57" i="6"/>
  <c r="AQ58" i="6"/>
  <c r="AQ67" i="6"/>
  <c r="AQ72" i="6"/>
  <c r="AQ73" i="6"/>
  <c r="AQ74" i="6"/>
  <c r="AQ75" i="6"/>
  <c r="AQ77" i="6"/>
  <c r="AQ76" i="6" s="1"/>
  <c r="AQ12" i="6"/>
  <c r="AF60" i="6"/>
  <c r="Y60" i="6"/>
  <c r="Y62" i="6" s="1"/>
  <c r="X60" i="6"/>
  <c r="X62" i="6" s="1"/>
  <c r="AN63" i="6"/>
  <c r="AN64" i="6" s="1"/>
  <c r="AJ63" i="6"/>
  <c r="AJ64" i="6" s="1"/>
  <c r="AI63" i="6"/>
  <c r="AI64" i="6" s="1"/>
  <c r="AE63" i="6"/>
  <c r="AE64" i="6" s="1"/>
  <c r="AC63" i="6"/>
  <c r="AC64" i="6" s="1"/>
  <c r="AB63" i="6"/>
  <c r="AB64" i="6" s="1"/>
  <c r="AA63" i="6"/>
  <c r="AA64" i="6" s="1"/>
  <c r="Z63" i="6"/>
  <c r="Z64" i="6" s="1"/>
  <c r="Y63" i="6"/>
  <c r="Y65" i="6" s="1"/>
  <c r="X63" i="6"/>
  <c r="X65" i="6" s="1"/>
  <c r="W63" i="6"/>
  <c r="W64" i="6" s="1"/>
  <c r="T63" i="6"/>
  <c r="T64" i="6" s="1"/>
  <c r="S63" i="6"/>
  <c r="S64" i="6" s="1"/>
  <c r="R63" i="6"/>
  <c r="R64" i="6" s="1"/>
  <c r="O63" i="6"/>
  <c r="O64" i="6" s="1"/>
  <c r="N63" i="6"/>
  <c r="N64" i="6" s="1"/>
  <c r="M63" i="6"/>
  <c r="M64" i="6" s="1"/>
  <c r="J63" i="6"/>
  <c r="J64" i="6" s="1"/>
  <c r="I63" i="6"/>
  <c r="I64" i="6" s="1"/>
  <c r="H63" i="6"/>
  <c r="H64" i="6" s="1"/>
  <c r="E63" i="6"/>
  <c r="E64" i="6" s="1"/>
  <c r="D63" i="6"/>
  <c r="D64" i="6" s="1"/>
  <c r="AJ68" i="6"/>
  <c r="AN68" i="6"/>
  <c r="AI68" i="6"/>
  <c r="AE68" i="6"/>
  <c r="AC68" i="6"/>
  <c r="AB68" i="6"/>
  <c r="AA68" i="6"/>
  <c r="Z68" i="6"/>
  <c r="Y68" i="6"/>
  <c r="X68" i="6"/>
  <c r="W68" i="6"/>
  <c r="T68" i="6"/>
  <c r="S68" i="6"/>
  <c r="R68" i="6"/>
  <c r="O68" i="6"/>
  <c r="N68" i="6"/>
  <c r="M68" i="6"/>
  <c r="J68" i="6"/>
  <c r="I68" i="6"/>
  <c r="H68" i="6"/>
  <c r="E68" i="6"/>
  <c r="D68" i="6"/>
  <c r="AN16" i="6"/>
  <c r="AM27" i="6"/>
  <c r="AL40" i="6"/>
  <c r="AK16" i="6"/>
  <c r="AJ16" i="6"/>
  <c r="AI32" i="6"/>
  <c r="AH16" i="6"/>
  <c r="AG16" i="6"/>
  <c r="AF17" i="6"/>
  <c r="AF16" i="6"/>
  <c r="AE32" i="6"/>
  <c r="AD40" i="6"/>
  <c r="AC16" i="6"/>
  <c r="AB16" i="6"/>
  <c r="AA16" i="6"/>
  <c r="Z16" i="6"/>
  <c r="Y40" i="6"/>
  <c r="X40" i="6"/>
  <c r="W16" i="6"/>
  <c r="V27" i="6"/>
  <c r="U22" i="6"/>
  <c r="T16" i="6"/>
  <c r="S16" i="6"/>
  <c r="R16" i="6"/>
  <c r="Q27" i="6"/>
  <c r="P23" i="6"/>
  <c r="P22" i="6"/>
  <c r="O16" i="6"/>
  <c r="N17" i="6"/>
  <c r="N16" i="6"/>
  <c r="M16" i="6"/>
  <c r="L27" i="6"/>
  <c r="K22" i="6"/>
  <c r="J16" i="6"/>
  <c r="I16" i="6"/>
  <c r="H53" i="6"/>
  <c r="H52" i="6"/>
  <c r="H16" i="6"/>
  <c r="G27" i="6"/>
  <c r="F55" i="6"/>
  <c r="AQ55" i="6" s="1"/>
  <c r="F56" i="6"/>
  <c r="AQ56" i="6" s="1"/>
  <c r="F51" i="6"/>
  <c r="AQ51" i="6" s="1"/>
  <c r="F45" i="6"/>
  <c r="AQ45" i="6" s="1"/>
  <c r="F25" i="6"/>
  <c r="AQ25" i="6" s="1"/>
  <c r="F24" i="6"/>
  <c r="AQ24" i="6" s="1"/>
  <c r="F23" i="6"/>
  <c r="F22" i="6"/>
  <c r="E16" i="6"/>
  <c r="D54" i="6"/>
  <c r="AQ54" i="6" s="1"/>
  <c r="D53" i="6"/>
  <c r="D52" i="6"/>
  <c r="D16" i="6"/>
  <c r="AQ23" i="6" l="1"/>
  <c r="AQ21" i="6" s="1"/>
  <c r="AQ17" i="6"/>
  <c r="AQ15" i="6" s="1"/>
  <c r="AQ65" i="6"/>
  <c r="AQ61" i="6"/>
  <c r="AQ60" i="6"/>
  <c r="AQ62" i="6"/>
  <c r="AQ52" i="6"/>
  <c r="AQ71" i="6"/>
  <c r="AQ68" i="6"/>
  <c r="AQ32" i="6"/>
  <c r="AQ27" i="6"/>
  <c r="AQ22" i="6"/>
  <c r="AQ16" i="6"/>
  <c r="AQ40" i="6"/>
  <c r="AQ64" i="6"/>
  <c r="AQ53" i="6"/>
  <c r="AQ63" i="6"/>
  <c r="AS4" i="6" l="1"/>
</calcChain>
</file>

<file path=xl/sharedStrings.xml><?xml version="1.0" encoding="utf-8"?>
<sst xmlns="http://schemas.openxmlformats.org/spreadsheetml/2006/main" count="312" uniqueCount="217">
  <si>
    <t>ПОЛ</t>
  </si>
  <si>
    <t>Коридор</t>
  </si>
  <si>
    <t>м2</t>
  </si>
  <si>
    <t>мп</t>
  </si>
  <si>
    <t>СТЕНЫ</t>
  </si>
  <si>
    <t>шт.</t>
  </si>
  <si>
    <t xml:space="preserve">Шпатлевка стен под окраску </t>
  </si>
  <si>
    <t>Комната тренера</t>
  </si>
  <si>
    <t>1</t>
  </si>
  <si>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</si>
  <si>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</si>
  <si>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</si>
  <si>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</si>
  <si>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</si>
  <si>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</si>
  <si>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</si>
  <si>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</si>
  <si>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</si>
  <si>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</si>
  <si>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</si>
  <si>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</si>
  <si>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</si>
  <si>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</si>
  <si>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</si>
  <si>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</si>
  <si>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</si>
  <si>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</si>
  <si>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</si>
  <si>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</si>
  <si>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</si>
  <si>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3</t>
  </si>
  <si>
    <t>3.1</t>
  </si>
  <si>
    <t>3.2</t>
  </si>
  <si>
    <t>3.3</t>
  </si>
  <si>
    <t>3.4</t>
  </si>
  <si>
    <t>3.5</t>
  </si>
  <si>
    <t>3.8</t>
  </si>
  <si>
    <t>3.9</t>
  </si>
  <si>
    <t>3.10</t>
  </si>
  <si>
    <t>4</t>
  </si>
  <si>
    <t>4.1</t>
  </si>
  <si>
    <t>4.3</t>
  </si>
  <si>
    <t>4.4</t>
  </si>
  <si>
    <t>4.6</t>
  </si>
  <si>
    <t>4.7</t>
  </si>
  <si>
    <t>4.8</t>
  </si>
  <si>
    <t>5</t>
  </si>
  <si>
    <t>5.1</t>
  </si>
  <si>
    <t>5.2</t>
  </si>
  <si>
    <t>5.3</t>
  </si>
  <si>
    <t>5.4</t>
  </si>
  <si>
    <t>6</t>
  </si>
  <si>
    <t>6.1</t>
  </si>
  <si>
    <t>6.2</t>
  </si>
  <si>
    <t>6.3</t>
  </si>
  <si>
    <t>6.4</t>
  </si>
  <si>
    <t>7</t>
  </si>
  <si>
    <t>7.1</t>
  </si>
  <si>
    <t>ОДЕЛКА ДОУ 2 ЭТАЖ</t>
  </si>
  <si>
    <t>Стоимость за м2:</t>
  </si>
  <si>
    <t>Общая стоимость:</t>
  </si>
  <si>
    <t>Площадь  отделки пола:</t>
  </si>
  <si>
    <t>руб.</t>
  </si>
  <si>
    <t>1.1.2</t>
  </si>
  <si>
    <t>1.1.3</t>
  </si>
  <si>
    <t>1.1.4</t>
  </si>
  <si>
    <t>1.2.1</t>
  </si>
  <si>
    <t>1.2.2</t>
  </si>
  <si>
    <t>1.2.3</t>
  </si>
  <si>
    <t>1.2.4</t>
  </si>
  <si>
    <t>1.2.5</t>
  </si>
  <si>
    <t>1.3.1</t>
  </si>
  <si>
    <t>1.3.2</t>
  </si>
  <si>
    <t>1.3.3</t>
  </si>
  <si>
    <t>1.3.4</t>
  </si>
  <si>
    <t>1.4.4</t>
  </si>
  <si>
    <t>1.5.1</t>
  </si>
  <si>
    <t>1.5.2</t>
  </si>
  <si>
    <t>1.5.3</t>
  </si>
  <si>
    <t>1.5.4</t>
  </si>
  <si>
    <t>1.5.5</t>
  </si>
  <si>
    <t>1.6.1</t>
  </si>
  <si>
    <t>1.6.2</t>
  </si>
  <si>
    <t>1.6.3</t>
  </si>
  <si>
    <t>1.6.4</t>
  </si>
  <si>
    <t>2.15</t>
  </si>
  <si>
    <t>ЗАШИВКА СТОЯКОВ, НИШ, УСТРОЙСТВО РЕВИЗИОННЫХ ЛЮЧКОВ</t>
  </si>
  <si>
    <t xml:space="preserve">Спальня </t>
  </si>
  <si>
    <t xml:space="preserve">Игровая </t>
  </si>
  <si>
    <t xml:space="preserve">Буфетная </t>
  </si>
  <si>
    <t>Санузел</t>
  </si>
  <si>
    <t>Раздевальная</t>
  </si>
  <si>
    <t>Инвентарная</t>
  </si>
  <si>
    <t>Общие помещения</t>
  </si>
  <si>
    <t>ПУИ</t>
  </si>
  <si>
    <t>Санузел персонала</t>
  </si>
  <si>
    <t>Групповая ячейка №5 (от 3 до 4 лет)</t>
  </si>
  <si>
    <t>Групповая ячейка №6 (от 4 до 5 лет)</t>
  </si>
  <si>
    <t>Групповая ячейка №7 (от 2 до 3 лет)</t>
  </si>
  <si>
    <t>Групповая ячейка №8 (от 3 до 4 лет)</t>
  </si>
  <si>
    <t>2.16</t>
  </si>
  <si>
    <t>2.17</t>
  </si>
  <si>
    <t>2.18</t>
  </si>
  <si>
    <t>2.19</t>
  </si>
  <si>
    <t>2.20</t>
  </si>
  <si>
    <t>2.21</t>
  </si>
  <si>
    <t>2.22</t>
  </si>
  <si>
    <t>2.23</t>
  </si>
  <si>
    <t>Кружковое помещение</t>
  </si>
  <si>
    <t>2.24</t>
  </si>
  <si>
    <t>2.25</t>
  </si>
  <si>
    <t>Кабинет для коррекционно-развив.занятий</t>
  </si>
  <si>
    <t>2.26</t>
  </si>
  <si>
    <t>2.27</t>
  </si>
  <si>
    <t>Лифтовой холл с зоной безопасности МГН</t>
  </si>
  <si>
    <t>2.28</t>
  </si>
  <si>
    <t>Зал для спортивных занятий</t>
  </si>
  <si>
    <t>2.29</t>
  </si>
  <si>
    <t>Кладовая</t>
  </si>
  <si>
    <t>2.30</t>
  </si>
  <si>
    <t>2.31</t>
  </si>
  <si>
    <t>2.32</t>
  </si>
  <si>
    <t>Зал для музыкальных занятий</t>
  </si>
  <si>
    <t>2.33</t>
  </si>
  <si>
    <t>Кабинет преподавателя музыки</t>
  </si>
  <si>
    <t>2.34</t>
  </si>
  <si>
    <t>2.35</t>
  </si>
  <si>
    <t>2.36</t>
  </si>
  <si>
    <t>2.37</t>
  </si>
  <si>
    <t>Кабинет логопеда</t>
  </si>
  <si>
    <t>2.41</t>
  </si>
  <si>
    <t>2.42</t>
  </si>
  <si>
    <t>Звукоизоляция-вспененный химически сшитый пенополиэтилен типа "Рефом" (завести на стену на высоту стяжки)-10мм</t>
  </si>
  <si>
    <t>Тип 20 (игровая, спальня, раздевальная, кружковое помещение, кабинет для коррекционно-развивающих занятий, кладовая, комната тренера, каб.муз.препод., каб.логопеда)</t>
  </si>
  <si>
    <t>Цементно-песчаная стяжка М150, армированная сеткой 4Вр1 100*100мм-70-90мм</t>
  </si>
  <si>
    <t>Тип 21 (2.3, 2.8, 2.13, 2.18-буфетная</t>
  </si>
  <si>
    <t>Гидроизоляция проникающего действия типа "Лахта", "Кальматрон", "Пенетрон" и.т.д.-2мм</t>
  </si>
  <si>
    <t>Керамический гранит 300*300мм на клее "Ветонит"-18мм</t>
  </si>
  <si>
    <t>Пол Тип 22 (2.4, 2.9, 2.14, 2.19, 2.36)-сан.узел детский, персонала</t>
  </si>
  <si>
    <t>Цементно-песчаная стяжка М150, армированная сеткой 4Вр1 100*100мм-90мм</t>
  </si>
  <si>
    <t>Пол Тип 23 (2.28, 2.32)-зал для спорт.занятий, зал для музыкальных занятий</t>
  </si>
  <si>
    <t>МВП "Роквул Флор Баттс (завести на стену на высоту стяжки)" δ=30мм</t>
  </si>
  <si>
    <t>1.4.1</t>
  </si>
  <si>
    <t>1.4.2</t>
  </si>
  <si>
    <t>1.4.3</t>
  </si>
  <si>
    <t>Пол Тип 24 (2.21, 2,22, 2.27, 2.35)-Коридор, лифтовой холл, ПУИ</t>
  </si>
  <si>
    <t>Цементно-песчаная стяжка М150, армированная сеткой 4Вр1 100*100мм-92мм</t>
  </si>
  <si>
    <t>ОТКОСЫ (дверные, оконные)</t>
  </si>
  <si>
    <t xml:space="preserve">ПОТОЛОК </t>
  </si>
  <si>
    <t xml:space="preserve">Керамическая плитка на влагостойком клее на высоту 2,1м от уровня пола </t>
  </si>
  <si>
    <t>Тип 17 (инвентарные) 2.41, 2.42</t>
  </si>
  <si>
    <t>Керамический гранит по дизайн-проекту на клее "Ветонит"-18мм</t>
  </si>
  <si>
    <t>Зашивка стояков ВК,ОВ, ВВ ГКВЛ 12,5мм в один слой по металлическому профилю ПС50/50</t>
  </si>
  <si>
    <r>
      <t xml:space="preserve">Плитка в зоне раковины </t>
    </r>
    <r>
      <rPr>
        <b/>
        <sz val="11"/>
        <color theme="1"/>
        <rFont val="Calibri"/>
        <family val="2"/>
        <charset val="204"/>
        <scheme val="minor"/>
      </rPr>
      <t>(кабинет логопеда)</t>
    </r>
  </si>
  <si>
    <t xml:space="preserve">ПД-1.1 (20х200х720) </t>
  </si>
  <si>
    <t>ПД-1.4 (20х200х1770)</t>
  </si>
  <si>
    <t>ПД-1.6 (20х200х2070)</t>
  </si>
  <si>
    <t>ПД-1.2 (20х200х1060)</t>
  </si>
  <si>
    <t>САНТЕХНИЧЕСКИЕ ПЕРЕГОРОДКИ</t>
  </si>
  <si>
    <t>ПОДОКОННЫЕ ДОСКИ ПВХ</t>
  </si>
  <si>
    <t xml:space="preserve"> г. Санкт-Петербург, поселок Шушары, Соколиная ул., уч.2, участок 1, ДОУ 250 мест</t>
  </si>
  <si>
    <t>Модульные перегородки из анодированного алюминиевого профиля с заполнением из влагостойкой ламинированной ДСП компании "Евростиль"или др. по выбору заказчика. Ограждение выполнить высотой 1,2 м  от пола, не доходящими до уровня пола на 0,15м</t>
  </si>
  <si>
    <t xml:space="preserve">Плинтус ПВХ </t>
  </si>
  <si>
    <t>Плинтус ПВХ</t>
  </si>
  <si>
    <t>Ровнитель для пола-10мм</t>
  </si>
  <si>
    <t>1.5.6</t>
  </si>
  <si>
    <t>Пароизоляция из пленки п/э</t>
  </si>
  <si>
    <t xml:space="preserve">Высококачественная гипсовая штукатурка по маякам по стеклотканевой сетке с ячейкой 5х5 </t>
  </si>
  <si>
    <t xml:space="preserve">Высококачественная цементно-песчаная штукатурка с добавками против влаги по маякам,  по стеклотканевой сетке с ячейкой 5х5 </t>
  </si>
  <si>
    <r>
      <t xml:space="preserve">Окраска стен моющейся краской </t>
    </r>
    <r>
      <rPr>
        <b/>
        <sz val="11"/>
        <color theme="1"/>
        <rFont val="Calibri"/>
        <family val="2"/>
        <charset val="204"/>
        <scheme val="minor"/>
      </rPr>
      <t>КМ0</t>
    </r>
    <r>
      <rPr>
        <sz val="11"/>
        <color theme="1"/>
        <rFont val="Calibri"/>
        <family val="2"/>
        <scheme val="minor"/>
      </rPr>
      <t xml:space="preserve"> за 2 раза </t>
    </r>
  </si>
  <si>
    <r>
      <t xml:space="preserve">Окраска стен краской </t>
    </r>
    <r>
      <rPr>
        <b/>
        <sz val="11"/>
        <color theme="1"/>
        <rFont val="Calibri"/>
        <family val="2"/>
        <charset val="204"/>
        <scheme val="minor"/>
      </rPr>
      <t>КМ1</t>
    </r>
    <r>
      <rPr>
        <sz val="11"/>
        <color theme="1"/>
        <rFont val="Calibri"/>
        <family val="2"/>
        <scheme val="minor"/>
      </rPr>
      <t xml:space="preserve"> за 2 раза </t>
    </r>
  </si>
  <si>
    <r>
      <t xml:space="preserve">Окраска дверных откосов краской </t>
    </r>
    <r>
      <rPr>
        <b/>
        <sz val="11"/>
        <color theme="1"/>
        <rFont val="Calibri"/>
        <family val="2"/>
        <charset val="204"/>
        <scheme val="minor"/>
      </rPr>
      <t>КМ1</t>
    </r>
    <r>
      <rPr>
        <sz val="11"/>
        <color theme="1"/>
        <rFont val="Calibri"/>
        <family val="2"/>
        <scheme val="minor"/>
      </rPr>
      <t xml:space="preserve"> за 2 раза </t>
    </r>
  </si>
  <si>
    <r>
      <t xml:space="preserve">Окраска дверных откосов краской </t>
    </r>
    <r>
      <rPr>
        <b/>
        <sz val="11"/>
        <color theme="1"/>
        <rFont val="Calibri"/>
        <family val="2"/>
        <charset val="204"/>
        <scheme val="minor"/>
      </rPr>
      <t xml:space="preserve">КМ0 </t>
    </r>
    <r>
      <rPr>
        <sz val="11"/>
        <color theme="1"/>
        <rFont val="Calibri"/>
        <family val="2"/>
        <scheme val="minor"/>
      </rPr>
      <t xml:space="preserve"> за 2 раза </t>
    </r>
  </si>
  <si>
    <r>
      <t xml:space="preserve">Окраска оконных откосов краской </t>
    </r>
    <r>
      <rPr>
        <b/>
        <sz val="11"/>
        <color theme="1"/>
        <rFont val="Calibri"/>
        <family val="2"/>
        <charset val="204"/>
        <scheme val="minor"/>
      </rPr>
      <t>КМ1</t>
    </r>
    <r>
      <rPr>
        <sz val="11"/>
        <color theme="1"/>
        <rFont val="Calibri"/>
        <family val="2"/>
        <scheme val="minor"/>
      </rPr>
      <t xml:space="preserve"> за 2 раза </t>
    </r>
  </si>
  <si>
    <r>
      <t xml:space="preserve">Окраска оконных откосов краской </t>
    </r>
    <r>
      <rPr>
        <b/>
        <sz val="11"/>
        <color theme="1"/>
        <rFont val="Calibri"/>
        <family val="2"/>
        <charset val="204"/>
        <scheme val="minor"/>
      </rPr>
      <t xml:space="preserve">КМ0 </t>
    </r>
    <r>
      <rPr>
        <sz val="11"/>
        <color theme="1"/>
        <rFont val="Calibri"/>
        <family val="2"/>
        <scheme val="minor"/>
      </rPr>
      <t xml:space="preserve"> за 2 раза </t>
    </r>
  </si>
  <si>
    <r>
      <t xml:space="preserve">Установка </t>
    </r>
    <r>
      <rPr>
        <sz val="11"/>
        <rFont val="Calibri"/>
        <family val="2"/>
        <charset val="204"/>
        <scheme val="minor"/>
      </rPr>
      <t>экранов для радиаторов из ламинированного МДФ</t>
    </r>
    <r>
      <rPr>
        <sz val="11"/>
        <color theme="1"/>
        <rFont val="Calibri"/>
        <family val="2"/>
        <scheme val="minor"/>
      </rPr>
      <t xml:space="preserve"> Н=0,75</t>
    </r>
  </si>
  <si>
    <t>Установка ревизионных лючков 300х400мм Р1-люк нажимной под плитку Хамер "Техно" скрытый</t>
  </si>
  <si>
    <t>Установка ревизионных лючков 200х300мм Р2-люк нажимной под плитку Хамер "Техно" скрытый</t>
  </si>
  <si>
    <t>Согласно проекту ДОУ-250-СОК-2-Р-АР</t>
  </si>
  <si>
    <t>Исп.Черемхина Е.А.</t>
  </si>
  <si>
    <t>РАСЧЕТ СТОИМОСТИ</t>
  </si>
  <si>
    <t>Площадь итого, м2</t>
  </si>
  <si>
    <t>Стоимость материалов за ед. руб.</t>
  </si>
  <si>
    <t>Стоимость работы за ед. руб.</t>
  </si>
  <si>
    <t>Стоимость материалов, всего, руб. с НДС 22%</t>
  </si>
  <si>
    <t>Стоимость работы, всего, руб. с НДС 22%</t>
  </si>
  <si>
    <t>Стоимость ИТОГО, руб. с НДС 22%</t>
  </si>
  <si>
    <t>ПРИМЕЧАНИЕ</t>
  </si>
  <si>
    <t>Цементно-песчаная стяжка М150, армированная сеткой 4 Вр1 100*100мм-42мм</t>
  </si>
  <si>
    <r>
      <t>Цементно-песчаная стяжка М150, армированная сеткой 4 Вр1 100*100мм-</t>
    </r>
    <r>
      <rPr>
        <sz val="11"/>
        <color rgb="FFFF0000"/>
        <rFont val="Calibri"/>
        <family val="2"/>
        <charset val="204"/>
        <scheme val="minor"/>
      </rPr>
      <t>98мм</t>
    </r>
  </si>
  <si>
    <t>Плинтус из керамогранита высотой 75мм</t>
  </si>
  <si>
    <t>Альма керамика 600х600</t>
  </si>
  <si>
    <t xml:space="preserve">Альма керамика </t>
  </si>
  <si>
    <t>Таркетт Acczent pro</t>
  </si>
  <si>
    <t>Линолеум гетерогенный на клею с пайкой шнуром (показатели пож.опасности не более В2, Д2, Т2, РП1)</t>
  </si>
  <si>
    <t>Керамический гранит на клее "Ветонит"-18мм</t>
  </si>
  <si>
    <t xml:space="preserve">Береза керамик Рамина 412х412 </t>
  </si>
  <si>
    <t>Керамогранит  на клее "Ветонит"-18мм</t>
  </si>
  <si>
    <r>
      <t>Цементно-песчаная стяжка М150, армированная сеткой 4Вр1 100*100мм-</t>
    </r>
    <r>
      <rPr>
        <sz val="11"/>
        <color rgb="FFFF0000"/>
        <rFont val="Calibri"/>
        <family val="2"/>
        <charset val="204"/>
        <scheme val="minor"/>
      </rPr>
      <t>78мм</t>
    </r>
  </si>
  <si>
    <t>1.5.7</t>
  </si>
  <si>
    <t>Таркетт omnisport action 65</t>
  </si>
  <si>
    <t>Таркетт art vinil lounge</t>
  </si>
  <si>
    <t>КП Петрович</t>
  </si>
  <si>
    <r>
      <rPr>
        <b/>
        <sz val="11"/>
        <color theme="1"/>
        <rFont val="Calibri"/>
        <family val="2"/>
        <charset val="204"/>
        <scheme val="minor"/>
      </rPr>
      <t>Тип 4.</t>
    </r>
    <r>
      <rPr>
        <sz val="11"/>
        <color theme="1"/>
        <rFont val="Calibri"/>
        <family val="2"/>
        <charset val="204"/>
        <scheme val="minor"/>
      </rPr>
      <t xml:space="preserve"> Штукатурка гипосовая 20мм , шпатлевка, окраска за 2 раза, (показатели пож.опасности не более Г1, В2, Д2, Т2), </t>
    </r>
  </si>
  <si>
    <r>
      <t>Тип 1.Подвесной потолок Armstrong Bioguard Plain 600х600х12мм.</t>
    </r>
    <r>
      <rPr>
        <sz val="11"/>
        <color theme="1"/>
        <rFont val="Calibri"/>
        <family val="2"/>
        <charset val="204"/>
        <scheme val="minor"/>
      </rPr>
      <t xml:space="preserve"> показатели пож.опасности не более Г1, В2, Д2, Т2, Каркас- Т-профиль Албес Евро Т24 оцинк в комплекте с угловым профилем PL19х24, подвесом 0,6м</t>
    </r>
    <r>
      <rPr>
        <b/>
        <sz val="11"/>
        <color theme="1"/>
        <rFont val="Calibri"/>
        <family val="2"/>
        <charset val="204"/>
        <scheme val="minor"/>
      </rPr>
      <t xml:space="preserve">(2.1-2.26, 2.30, 2.33, 2.36, 2.37) </t>
    </r>
  </si>
  <si>
    <r>
      <t xml:space="preserve">Тип 5. </t>
    </r>
    <r>
      <rPr>
        <sz val="11"/>
        <color theme="1"/>
        <rFont val="Calibri"/>
        <family val="2"/>
        <charset val="204"/>
        <scheme val="minor"/>
      </rPr>
      <t xml:space="preserve">Подвесной потолок Панель СМЛ 600х600х6мм, негорючая КМ0, Каркас - Т-профиль Албес Евро Т24 оцинк в комплекте с угловым профилем PL19х24, подвесом 0,6м </t>
    </r>
    <r>
      <rPr>
        <b/>
        <sz val="11"/>
        <color theme="1"/>
        <rFont val="Calibri"/>
        <family val="2"/>
        <charset val="204"/>
        <scheme val="minor"/>
      </rPr>
      <t>(2.27, 2.28, 2.32)</t>
    </r>
  </si>
  <si>
    <r>
      <rPr>
        <b/>
        <sz val="11"/>
        <color theme="1"/>
        <rFont val="Calibri"/>
        <family val="2"/>
        <charset val="204"/>
        <scheme val="minor"/>
      </rPr>
      <t>Тип 6.</t>
    </r>
    <r>
      <rPr>
        <sz val="11"/>
        <color theme="1"/>
        <rFont val="Calibri"/>
        <family val="2"/>
        <charset val="204"/>
        <scheme val="minor"/>
      </rPr>
      <t xml:space="preserve"> Штукатурка цементная 20мм, шпаклевка влагостойкая, окраска влагостойкой краской за 2 раза </t>
    </r>
    <r>
      <rPr>
        <b/>
        <sz val="11"/>
        <color theme="1"/>
        <rFont val="Calibri"/>
        <family val="2"/>
        <charset val="204"/>
        <scheme val="minor"/>
      </rPr>
      <t>(2.29, 2.31, 2.34, 2.35)</t>
    </r>
  </si>
  <si>
    <r>
      <t xml:space="preserve">Утепление стен мин.плитой Роквул Фасад Баттс Оптима, 50мм с устройство армирующего слоя (стеклосетка щелочестойкая Мастер 4*4+ клей шпатлевка для армирования теплоизоляционных плит Capatect Klebe und Armierungmasse 186 или аналог + окраска за 2 раза)  </t>
    </r>
    <r>
      <rPr>
        <b/>
        <sz val="11"/>
        <color theme="1"/>
        <rFont val="Calibri"/>
        <family val="2"/>
        <charset val="204"/>
        <scheme val="minor"/>
      </rPr>
      <t>(кабинет логопеда)</t>
    </r>
  </si>
  <si>
    <t>Interior Aura Mattlatex</t>
  </si>
  <si>
    <t>Линолеум гетерогенный на клею (показатели пож.опасности не более В2, Д2, Т2, РП1)</t>
  </si>
  <si>
    <t>Azori 201*505</t>
  </si>
  <si>
    <t>Azori 315*630 и 201*505</t>
  </si>
  <si>
    <t>Зашивка оконных откосов ГВЛ  на клеевую смесь со шпаклевкой сухими строительными смесями типа "КНАУФ" б=2 мм</t>
  </si>
  <si>
    <t>Зашивка дверных откосов ГВЛ  на клеевую смесь со шпаклевкой сухими строительными смесями типа "КНАУФ" б=2 мм</t>
  </si>
  <si>
    <t>2.1.1</t>
  </si>
  <si>
    <t>Подвесной реечный потолок - Рейка А100АТ бел мат ал0,4 в комплекте с гребенкой, уголком и подвесом 0,6м (санузлы)</t>
  </si>
  <si>
    <t>Грунт G111 ОПТИМИСТ под краску НГ  Краска eskaro W220 ОПТИМИСТ негорючая КМ0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</si>
</sst>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C00000"/>
      <name val="Calibri"/>
      <family val="2"/>
      <scheme val="minor"/>
    </font>
    <font>
      <b/>
      <sz val="12"/>
      <color rgb="FFC0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204"/>
    </font>
    <font>
      <b/>
      <i/>
      <sz val="12"/>
      <name val="Calibri"/>
      <family val="2"/>
      <charset val="204"/>
      <scheme val="minor"/>
    </font>
    <font>
      <i/>
      <sz val="14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textRotation="90" wrapText="1"/>
    </xf>
    <xf numFmtId="0" fontId="20" fillId="3" borderId="1" xfId="0" applyFont="1" applyFill="1" applyBorder="1" applyAlignment="1">
      <alignment horizontal="center" vertical="center" textRotation="90" wrapText="1"/>
    </xf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textRotation="90" wrapText="1"/>
    </xf>
    <xf numFmtId="49" fontId="20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textRotation="90" wrapText="1"/>
    </xf>
    <xf numFmtId="49" fontId="20" fillId="6" borderId="1" xfId="0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textRotation="90" wrapText="1"/>
    </xf>
    <xf numFmtId="0" fontId="20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textRotation="90" wrapText="1"/>
    </xf>
    <xf numFmtId="49" fontId="20" fillId="7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164" fontId="27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Обычный" xfId="0" builtinId="0"/>
    <cellStyle name="Обычный 2 2 2" xfId="1" xr:uid="{EE248758-A906-4B1B-84A4-6B9710196F0C}"/>
  </cellStyles>
  <dxfs count="0"/>
  <tableStyles count="0" defaultTableStyle="TableStyleMedium2" defaultPivotStyle="PivotStyleLight16"/>
  <colors>
    <mruColors>
      <color rgb="FF9966FF"/>
      <color rgb="FFFF99CC"/>
      <color rgb="FFFFFFFF"/>
      <color rgb="FFFF99FF"/>
      <color rgb="FF66FF99"/>
      <color rgb="FF00FF00"/>
      <color rgb="FFFFFF00"/>
      <color rgb="FF9933FF"/>
      <color rgb="FF9AFAE3"/>
      <color rgb="FFFE96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63AD-6593-4EA6-B7D1-2B2825A30D4C}">
  <dimension ref="A1:AW79"/>
  <sheetViews>
    <sheetView tabSelected="1" view="pageBreakPreview" zoomScale="115" zoomScaleNormal="90" zoomScaleSheetLayoutView="115" workbookViewId="0">
      <pane xSplit="2" ySplit="9" topLeftCell="C43" activePane="bottomRight" state="frozen"/>
      <selection pane="topRight" activeCell="C1" sqref="C1"/>
      <selection pane="bottomLeft" activeCell="A5" sqref="A5"/>
      <selection pane="bottomRight" activeCell="AS75" sqref="AS75"/>
    </sheetView>
  </sheetViews>
  <sheetFormatPr defaultColWidth="9.140625" defaultRowHeight="15.75" x14ac:dyDescent="0.25"/>
  <cols>
    <col min="1" max="1" width="8.7109375" style="16" customWidth="1"/>
    <col min="2" max="2" width="62.5703125" style="2" customWidth="1"/>
    <col min="3" max="3" width="7" style="5" customWidth="1"/>
    <col min="4" max="4" width="8.28515625" style="11" bestFit="1" customWidth="1"/>
    <col min="5" max="5" width="6.42578125" style="11" customWidth="1"/>
    <col min="6" max="6" width="7.140625" style="11" customWidth="1"/>
    <col min="7" max="7" width="7.42578125" style="11" customWidth="1"/>
    <col min="8" max="8" width="7.140625" style="11" customWidth="1"/>
    <col min="9" max="9" width="6" style="11" customWidth="1"/>
    <col min="10" max="10" width="6.7109375" style="11" customWidth="1"/>
    <col min="11" max="11" width="7" style="11" customWidth="1"/>
    <col min="12" max="12" width="8.5703125" style="11" customWidth="1"/>
    <col min="13" max="13" width="7.7109375" style="11" customWidth="1"/>
    <col min="14" max="14" width="7.140625" style="11" customWidth="1"/>
    <col min="15" max="16" width="6.85546875" style="11" customWidth="1"/>
    <col min="17" max="17" width="7" style="11" customWidth="1"/>
    <col min="18" max="18" width="8" style="11" customWidth="1"/>
    <col min="19" max="21" width="6" style="11" customWidth="1"/>
    <col min="22" max="22" width="7.85546875" style="11" customWidth="1"/>
    <col min="23" max="23" width="8.85546875" style="11" customWidth="1"/>
    <col min="24" max="27" width="6" style="11" customWidth="1"/>
    <col min="28" max="28" width="8.7109375" style="11" customWidth="1"/>
    <col min="29" max="29" width="8.5703125" style="11" customWidth="1"/>
    <col min="30" max="30" width="6" style="11" customWidth="1"/>
    <col min="31" max="31" width="8.28515625" style="11" customWidth="1"/>
    <col min="32" max="34" width="6" style="11" customWidth="1"/>
    <col min="35" max="35" width="8.85546875" style="11" customWidth="1"/>
    <col min="36" max="36" width="8.140625" style="11" customWidth="1"/>
    <col min="37" max="37" width="6" style="11" customWidth="1"/>
    <col min="38" max="38" width="7.28515625" style="11" customWidth="1"/>
    <col min="39" max="42" width="6" style="11" customWidth="1"/>
    <col min="43" max="43" width="18.42578125" style="31" customWidth="1"/>
    <col min="44" max="48" width="18.42578125" style="12" customWidth="1"/>
    <col min="49" max="49" width="35" style="12" customWidth="1"/>
    <col min="50" max="16384" width="9.140625" style="5"/>
  </cols>
  <sheetData>
    <row r="1" spans="1:49" ht="25.5" customHeight="1" x14ac:dyDescent="0.25">
      <c r="A1" s="95" t="s">
        <v>180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</row>
    <row r="2" spans="1:49" ht="27" customHeight="1" x14ac:dyDescent="0.25">
      <c r="A2" s="96" t="s">
        <v>58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</row>
    <row r="3" spans="1:49" ht="30.6" customHeight="1" x14ac:dyDescent="0.25">
      <c r="A3" s="97" t="s">
        <v>160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</row>
    <row r="4" spans="1:49" ht="18.75" customHeight="1" x14ac:dyDescent="0.25">
      <c r="A4" s="34"/>
      <c r="B4" s="34"/>
      <c r="C4" s="28"/>
      <c r="I4" s="29"/>
      <c r="J4" s="29"/>
      <c r="K4" s="29"/>
      <c r="L4" s="29"/>
      <c r="M4" s="29"/>
      <c r="N4" s="29"/>
      <c r="O4" s="29"/>
      <c r="AQ4" s="111" t="s">
        <v>61</v>
      </c>
      <c r="AR4" s="111"/>
      <c r="AS4" s="70">
        <f>AQ11+AQ15+AQ21+AQ26+AQ31+AQ39</f>
        <v>1129.5999999999999</v>
      </c>
      <c r="AT4" s="70"/>
      <c r="AU4" s="70"/>
      <c r="AV4" s="70"/>
      <c r="AW4" s="71" t="s">
        <v>2</v>
      </c>
    </row>
    <row r="5" spans="1:49" ht="18.75" x14ac:dyDescent="0.25">
      <c r="A5" s="34"/>
      <c r="B5" s="34"/>
      <c r="C5" s="28"/>
      <c r="I5" s="29"/>
      <c r="J5" s="29"/>
      <c r="K5" s="29"/>
      <c r="L5" s="29"/>
      <c r="M5" s="29"/>
      <c r="N5" s="29"/>
      <c r="O5" s="29"/>
      <c r="AQ5" s="112" t="s">
        <v>59</v>
      </c>
      <c r="AR5" s="112"/>
      <c r="AS5" s="32"/>
      <c r="AT5" s="81"/>
      <c r="AU5" s="81"/>
      <c r="AV5" s="81"/>
      <c r="AW5" s="23" t="s">
        <v>62</v>
      </c>
    </row>
    <row r="6" spans="1:49" ht="35.25" customHeight="1" x14ac:dyDescent="0.25">
      <c r="A6" s="34"/>
      <c r="B6" s="34"/>
      <c r="C6" s="28"/>
      <c r="I6" s="29"/>
      <c r="J6" s="29"/>
      <c r="K6" s="29"/>
      <c r="L6" s="29"/>
      <c r="M6" s="29"/>
      <c r="N6" s="29"/>
      <c r="O6" s="29"/>
      <c r="AQ6" s="113" t="s">
        <v>60</v>
      </c>
      <c r="AR6" s="113"/>
      <c r="AS6" s="33"/>
      <c r="AT6" s="82"/>
      <c r="AU6" s="82"/>
      <c r="AV6" s="82"/>
      <c r="AW6" s="24" t="s">
        <v>62</v>
      </c>
    </row>
    <row r="7" spans="1:49" s="19" customFormat="1" ht="16.5" customHeight="1" x14ac:dyDescent="0.25">
      <c r="A7" s="114"/>
      <c r="B7" s="115"/>
      <c r="C7" s="115"/>
      <c r="D7" s="38" t="s">
        <v>16</v>
      </c>
      <c r="E7" s="38" t="s">
        <v>17</v>
      </c>
      <c r="F7" s="38" t="s">
        <v>18</v>
      </c>
      <c r="G7" s="38" t="s">
        <v>19</v>
      </c>
      <c r="H7" s="38" t="s">
        <v>20</v>
      </c>
      <c r="I7" s="39" t="s">
        <v>21</v>
      </c>
      <c r="J7" s="39" t="s">
        <v>22</v>
      </c>
      <c r="K7" s="39" t="s">
        <v>23</v>
      </c>
      <c r="L7" s="39" t="s">
        <v>24</v>
      </c>
      <c r="M7" s="39" t="s">
        <v>25</v>
      </c>
      <c r="N7" s="41" t="s">
        <v>26</v>
      </c>
      <c r="O7" s="41" t="s">
        <v>27</v>
      </c>
      <c r="P7" s="41" t="s">
        <v>28</v>
      </c>
      <c r="Q7" s="41" t="s">
        <v>29</v>
      </c>
      <c r="R7" s="41" t="s">
        <v>85</v>
      </c>
      <c r="S7" s="43" t="s">
        <v>100</v>
      </c>
      <c r="T7" s="43" t="s">
        <v>101</v>
      </c>
      <c r="U7" s="43" t="s">
        <v>102</v>
      </c>
      <c r="V7" s="43" t="s">
        <v>103</v>
      </c>
      <c r="W7" s="43" t="s">
        <v>104</v>
      </c>
      <c r="X7" s="47" t="s">
        <v>105</v>
      </c>
      <c r="Y7" s="47" t="s">
        <v>106</v>
      </c>
      <c r="Z7" s="47" t="s">
        <v>107</v>
      </c>
      <c r="AA7" s="47" t="s">
        <v>109</v>
      </c>
      <c r="AB7" s="47" t="s">
        <v>110</v>
      </c>
      <c r="AC7" s="47" t="s">
        <v>112</v>
      </c>
      <c r="AD7" s="47" t="s">
        <v>113</v>
      </c>
      <c r="AE7" s="47" t="s">
        <v>115</v>
      </c>
      <c r="AF7" s="47" t="s">
        <v>117</v>
      </c>
      <c r="AG7" s="47" t="s">
        <v>119</v>
      </c>
      <c r="AH7" s="47" t="s">
        <v>120</v>
      </c>
      <c r="AI7" s="47" t="s">
        <v>121</v>
      </c>
      <c r="AJ7" s="47" t="s">
        <v>123</v>
      </c>
      <c r="AK7" s="47" t="s">
        <v>125</v>
      </c>
      <c r="AL7" s="47" t="s">
        <v>126</v>
      </c>
      <c r="AM7" s="47" t="s">
        <v>127</v>
      </c>
      <c r="AN7" s="47" t="s">
        <v>128</v>
      </c>
      <c r="AO7" s="47" t="s">
        <v>130</v>
      </c>
      <c r="AP7" s="47" t="s">
        <v>131</v>
      </c>
      <c r="AQ7" s="108" t="s">
        <v>181</v>
      </c>
      <c r="AR7" s="108" t="s">
        <v>182</v>
      </c>
      <c r="AS7" s="108" t="s">
        <v>183</v>
      </c>
      <c r="AT7" s="98" t="s">
        <v>184</v>
      </c>
      <c r="AU7" s="98" t="s">
        <v>185</v>
      </c>
      <c r="AV7" s="98" t="s">
        <v>186</v>
      </c>
      <c r="AW7" s="98" t="s">
        <v>187</v>
      </c>
    </row>
    <row r="8" spans="1:49" s="19" customFormat="1" ht="15.75" customHeight="1" x14ac:dyDescent="0.25">
      <c r="A8" s="114"/>
      <c r="B8" s="115"/>
      <c r="C8" s="115"/>
      <c r="D8" s="101" t="s">
        <v>96</v>
      </c>
      <c r="E8" s="101"/>
      <c r="F8" s="101"/>
      <c r="G8" s="101"/>
      <c r="H8" s="101"/>
      <c r="I8" s="102" t="s">
        <v>97</v>
      </c>
      <c r="J8" s="103"/>
      <c r="K8" s="103"/>
      <c r="L8" s="103"/>
      <c r="M8" s="104"/>
      <c r="N8" s="105" t="s">
        <v>98</v>
      </c>
      <c r="O8" s="105"/>
      <c r="P8" s="105"/>
      <c r="Q8" s="105"/>
      <c r="R8" s="105"/>
      <c r="S8" s="106" t="s">
        <v>99</v>
      </c>
      <c r="T8" s="106"/>
      <c r="U8" s="106"/>
      <c r="V8" s="106"/>
      <c r="W8" s="106"/>
      <c r="X8" s="107" t="s">
        <v>93</v>
      </c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45"/>
      <c r="AK8" s="45"/>
      <c r="AL8" s="45"/>
      <c r="AM8" s="45"/>
      <c r="AN8" s="45"/>
      <c r="AO8" s="45"/>
      <c r="AP8" s="45"/>
      <c r="AQ8" s="108"/>
      <c r="AR8" s="108"/>
      <c r="AS8" s="108"/>
      <c r="AT8" s="99"/>
      <c r="AU8" s="99"/>
      <c r="AV8" s="99"/>
      <c r="AW8" s="99"/>
    </row>
    <row r="9" spans="1:49" s="19" customFormat="1" ht="77.25" customHeight="1" x14ac:dyDescent="0.25">
      <c r="A9" s="114"/>
      <c r="B9" s="115"/>
      <c r="C9" s="115"/>
      <c r="D9" s="21" t="s">
        <v>87</v>
      </c>
      <c r="E9" s="21" t="s">
        <v>88</v>
      </c>
      <c r="F9" s="21" t="s">
        <v>89</v>
      </c>
      <c r="G9" s="21" t="s">
        <v>90</v>
      </c>
      <c r="H9" s="21" t="s">
        <v>91</v>
      </c>
      <c r="I9" s="40" t="s">
        <v>87</v>
      </c>
      <c r="J9" s="40" t="s">
        <v>88</v>
      </c>
      <c r="K9" s="40" t="s">
        <v>89</v>
      </c>
      <c r="L9" s="40" t="s">
        <v>90</v>
      </c>
      <c r="M9" s="40" t="s">
        <v>91</v>
      </c>
      <c r="N9" s="42" t="s">
        <v>87</v>
      </c>
      <c r="O9" s="42" t="s">
        <v>88</v>
      </c>
      <c r="P9" s="42" t="s">
        <v>89</v>
      </c>
      <c r="Q9" s="42" t="s">
        <v>90</v>
      </c>
      <c r="R9" s="42" t="s">
        <v>91</v>
      </c>
      <c r="S9" s="44" t="s">
        <v>87</v>
      </c>
      <c r="T9" s="44" t="s">
        <v>88</v>
      </c>
      <c r="U9" s="44" t="s">
        <v>89</v>
      </c>
      <c r="V9" s="44" t="s">
        <v>90</v>
      </c>
      <c r="W9" s="44" t="s">
        <v>91</v>
      </c>
      <c r="X9" s="46" t="s">
        <v>1</v>
      </c>
      <c r="Y9" s="46" t="s">
        <v>1</v>
      </c>
      <c r="Z9" s="46" t="s">
        <v>108</v>
      </c>
      <c r="AA9" s="46" t="s">
        <v>108</v>
      </c>
      <c r="AB9" s="46" t="s">
        <v>111</v>
      </c>
      <c r="AC9" s="46" t="s">
        <v>111</v>
      </c>
      <c r="AD9" s="46" t="s">
        <v>114</v>
      </c>
      <c r="AE9" s="46" t="s">
        <v>116</v>
      </c>
      <c r="AF9" s="46" t="s">
        <v>118</v>
      </c>
      <c r="AG9" s="46" t="s">
        <v>7</v>
      </c>
      <c r="AH9" s="46" t="s">
        <v>118</v>
      </c>
      <c r="AI9" s="46" t="s">
        <v>122</v>
      </c>
      <c r="AJ9" s="46" t="s">
        <v>124</v>
      </c>
      <c r="AK9" s="46" t="s">
        <v>118</v>
      </c>
      <c r="AL9" s="46" t="s">
        <v>94</v>
      </c>
      <c r="AM9" s="46" t="s">
        <v>95</v>
      </c>
      <c r="AN9" s="46" t="s">
        <v>129</v>
      </c>
      <c r="AO9" s="46" t="s">
        <v>92</v>
      </c>
      <c r="AP9" s="46" t="s">
        <v>92</v>
      </c>
      <c r="AQ9" s="108"/>
      <c r="AR9" s="108"/>
      <c r="AS9" s="108"/>
      <c r="AT9" s="100"/>
      <c r="AU9" s="100"/>
      <c r="AV9" s="100"/>
      <c r="AW9" s="100"/>
    </row>
    <row r="10" spans="1:49" s="3" customFormat="1" ht="18.75" customHeight="1" x14ac:dyDescent="0.25">
      <c r="A10" s="62" t="s">
        <v>8</v>
      </c>
      <c r="B10" s="17" t="s">
        <v>0</v>
      </c>
      <c r="C10" s="35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30"/>
      <c r="AR10" s="15"/>
      <c r="AS10" s="15"/>
      <c r="AT10" s="15"/>
      <c r="AU10" s="15"/>
      <c r="AV10" s="15"/>
      <c r="AW10" s="80"/>
    </row>
    <row r="11" spans="1:49" s="3" customFormat="1" ht="25.5" customHeight="1" x14ac:dyDescent="0.25">
      <c r="A11" s="67" t="s">
        <v>9</v>
      </c>
      <c r="B11" s="68" t="s">
        <v>150</v>
      </c>
      <c r="C11" s="54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69">
        <f>21.7</f>
        <v>21.7</v>
      </c>
      <c r="AR11" s="15"/>
      <c r="AS11" s="15"/>
      <c r="AT11" s="15"/>
      <c r="AU11" s="15"/>
      <c r="AV11" s="15"/>
      <c r="AW11" s="80"/>
    </row>
    <row r="12" spans="1:49" s="3" customFormat="1" ht="38.450000000000003" customHeight="1" x14ac:dyDescent="0.25">
      <c r="A12" s="52" t="s">
        <v>63</v>
      </c>
      <c r="B12" s="49" t="s">
        <v>188</v>
      </c>
      <c r="C12" s="50" t="s">
        <v>2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56">
        <v>10.9</v>
      </c>
      <c r="AP12" s="56">
        <v>10.8</v>
      </c>
      <c r="AQ12" s="55">
        <f>D12+E12+F12+G12+H12+I12+J12+K12+L12+M12+N12+O12+P12+Q12+R12+S12+T12+U12+V12+W12+X12+Y12+Z12+AA12+AB12+AC12+AD12+AE12+AF12+AG12+AH12+AI12+AJ12+AK12+AL12+AM12+AN12+AO12+AP12</f>
        <v>21.700000000000003</v>
      </c>
      <c r="AR12" s="15"/>
      <c r="AS12" s="15"/>
      <c r="AT12" s="15"/>
      <c r="AU12" s="15"/>
      <c r="AV12" s="15"/>
      <c r="AW12" s="80"/>
    </row>
    <row r="13" spans="1:49" s="3" customFormat="1" ht="30.75" customHeight="1" x14ac:dyDescent="0.25">
      <c r="A13" s="52" t="s">
        <v>64</v>
      </c>
      <c r="B13" s="49" t="s">
        <v>151</v>
      </c>
      <c r="C13" s="50" t="s">
        <v>2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56">
        <v>10.9</v>
      </c>
      <c r="AP13" s="56">
        <v>10.8</v>
      </c>
      <c r="AQ13" s="57">
        <f t="shared" ref="AQ13:AQ75" si="0">D13+E13+F13+G13+H13+I13+J13+K13+L13+M13+N13+O13+P13+Q13+R13+S13+T13+U13+V13+W13+X13+Y13+Z13+AA13+AB13+AC13+AD13+AE13+AF13+AG13+AH13+AI13+AJ13+AK13+AL13+AM13+AN13+AO13+AP13</f>
        <v>21.700000000000003</v>
      </c>
      <c r="AR13" s="15"/>
      <c r="AS13" s="15"/>
      <c r="AT13" s="15"/>
      <c r="AU13" s="15"/>
      <c r="AV13" s="15"/>
      <c r="AW13" s="80" t="s">
        <v>191</v>
      </c>
    </row>
    <row r="14" spans="1:49" s="3" customFormat="1" ht="18.75" customHeight="1" x14ac:dyDescent="0.25">
      <c r="A14" s="52" t="s">
        <v>65</v>
      </c>
      <c r="B14" s="92" t="s">
        <v>190</v>
      </c>
      <c r="C14" s="54" t="s">
        <v>3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56">
        <v>13</v>
      </c>
      <c r="AP14" s="56">
        <v>13</v>
      </c>
      <c r="AQ14" s="57">
        <f t="shared" si="0"/>
        <v>26</v>
      </c>
      <c r="AR14" s="15"/>
      <c r="AS14" s="15"/>
      <c r="AT14" s="15"/>
      <c r="AU14" s="15"/>
      <c r="AV14" s="15"/>
      <c r="AW14" s="80" t="s">
        <v>192</v>
      </c>
    </row>
    <row r="15" spans="1:49" s="3" customFormat="1" ht="53.1" customHeight="1" x14ac:dyDescent="0.25">
      <c r="A15" s="67" t="s">
        <v>10</v>
      </c>
      <c r="B15" s="68" t="s">
        <v>133</v>
      </c>
      <c r="C15" s="4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69">
        <f>AQ17</f>
        <v>611.89999999999986</v>
      </c>
      <c r="AR15" s="9"/>
      <c r="AS15" s="9"/>
      <c r="AT15" s="9"/>
      <c r="AU15" s="9"/>
      <c r="AV15" s="9"/>
      <c r="AW15" s="80"/>
    </row>
    <row r="16" spans="1:49" s="3" customFormat="1" ht="32.25" customHeight="1" x14ac:dyDescent="0.25">
      <c r="A16" s="61" t="s">
        <v>66</v>
      </c>
      <c r="B16" s="49" t="s">
        <v>132</v>
      </c>
      <c r="C16" s="50" t="s">
        <v>2</v>
      </c>
      <c r="D16" s="56">
        <f>45.7+(25.7*0.106)</f>
        <v>48.424199999999999</v>
      </c>
      <c r="E16" s="56">
        <f>52.6+(27.1*0.106)</f>
        <v>55.4726</v>
      </c>
      <c r="F16" s="18"/>
      <c r="G16" s="18"/>
      <c r="H16" s="56">
        <f>19+(15.3*0.106)</f>
        <v>20.6218</v>
      </c>
      <c r="I16" s="56">
        <f>51+(25.4*0.106)</f>
        <v>53.692399999999999</v>
      </c>
      <c r="J16" s="56">
        <f>52.7+(26.5*0.106)</f>
        <v>55.509</v>
      </c>
      <c r="K16" s="18"/>
      <c r="L16" s="18"/>
      <c r="M16" s="56">
        <f>19.6+(15.76*0.106)</f>
        <v>21.27056</v>
      </c>
      <c r="N16" s="56">
        <f>51+(25.6*0.106)</f>
        <v>53.7136</v>
      </c>
      <c r="O16" s="56">
        <f>53+(26.74*0.106)</f>
        <v>55.834440000000001</v>
      </c>
      <c r="P16" s="18"/>
      <c r="Q16" s="18"/>
      <c r="R16" s="56">
        <f>19.3+14.95*0.106</f>
        <v>20.884700000000002</v>
      </c>
      <c r="S16" s="56">
        <f>45.7+25.9*0.106</f>
        <v>48.445399999999999</v>
      </c>
      <c r="T16" s="56">
        <f>51.8+25.9*0.106</f>
        <v>54.545399999999994</v>
      </c>
      <c r="U16" s="18"/>
      <c r="V16" s="18"/>
      <c r="W16" s="56">
        <f>19.5+16*0.106</f>
        <v>21.196000000000002</v>
      </c>
      <c r="X16" s="18"/>
      <c r="Y16" s="18"/>
      <c r="Z16" s="56">
        <f>25.5+19.5*0.106</f>
        <v>27.567</v>
      </c>
      <c r="AA16" s="56">
        <f>25.7+19.9*0.106</f>
        <v>27.8094</v>
      </c>
      <c r="AB16" s="56">
        <f>10.4+12.3*0.106</f>
        <v>11.703800000000001</v>
      </c>
      <c r="AC16" s="56">
        <f>15.9+16*0.106</f>
        <v>17.596</v>
      </c>
      <c r="AD16" s="18"/>
      <c r="AE16" s="18"/>
      <c r="AF16" s="56">
        <f>4.3+7.3*0.106</f>
        <v>5.0737999999999994</v>
      </c>
      <c r="AG16" s="56">
        <f>6.4+9.3*0.106</f>
        <v>7.3858000000000006</v>
      </c>
      <c r="AH16" s="56">
        <f>6.4+10.4*0.106</f>
        <v>7.5024000000000006</v>
      </c>
      <c r="AI16" s="18"/>
      <c r="AJ16" s="56">
        <f>6.48+9.3*0.106</f>
        <v>7.4658000000000007</v>
      </c>
      <c r="AK16" s="56">
        <f>4.6+8.8*0.106</f>
        <v>5.5327999999999999</v>
      </c>
      <c r="AL16" s="18"/>
      <c r="AM16" s="18"/>
      <c r="AN16" s="56">
        <f>25.3+24.5*0.106</f>
        <v>27.897000000000002</v>
      </c>
      <c r="AO16" s="18"/>
      <c r="AP16" s="18"/>
      <c r="AQ16" s="57">
        <f t="shared" si="0"/>
        <v>655.14389999999992</v>
      </c>
      <c r="AR16" s="9"/>
      <c r="AS16" s="9"/>
      <c r="AT16" s="9"/>
      <c r="AU16" s="9"/>
      <c r="AV16" s="9"/>
      <c r="AW16" s="80"/>
    </row>
    <row r="17" spans="1:49" ht="36.6" customHeight="1" x14ac:dyDescent="0.25">
      <c r="A17" s="61" t="s">
        <v>67</v>
      </c>
      <c r="B17" s="49" t="s">
        <v>189</v>
      </c>
      <c r="C17" s="50" t="s">
        <v>2</v>
      </c>
      <c r="D17" s="10">
        <v>45.7</v>
      </c>
      <c r="E17" s="10">
        <v>52.6</v>
      </c>
      <c r="F17" s="10"/>
      <c r="G17" s="10"/>
      <c r="H17" s="10">
        <v>19</v>
      </c>
      <c r="I17" s="10">
        <v>51</v>
      </c>
      <c r="J17" s="10">
        <v>52.7</v>
      </c>
      <c r="K17" s="10"/>
      <c r="L17" s="10"/>
      <c r="M17" s="10">
        <v>19.600000000000001</v>
      </c>
      <c r="N17" s="10">
        <f>51</f>
        <v>51</v>
      </c>
      <c r="O17" s="10">
        <v>53</v>
      </c>
      <c r="P17" s="10"/>
      <c r="Q17" s="10"/>
      <c r="R17" s="10">
        <v>19.3</v>
      </c>
      <c r="S17" s="10">
        <v>45.7</v>
      </c>
      <c r="T17" s="10">
        <v>51.8</v>
      </c>
      <c r="U17" s="10"/>
      <c r="V17" s="10"/>
      <c r="W17" s="10">
        <v>19.5</v>
      </c>
      <c r="X17" s="10"/>
      <c r="Y17" s="10"/>
      <c r="Z17" s="10">
        <v>25.5</v>
      </c>
      <c r="AA17" s="10">
        <v>25.7</v>
      </c>
      <c r="AB17" s="10">
        <v>10.4</v>
      </c>
      <c r="AC17" s="10">
        <v>15.9</v>
      </c>
      <c r="AD17" s="10"/>
      <c r="AE17" s="10"/>
      <c r="AF17" s="10">
        <f>4.3</f>
        <v>4.3</v>
      </c>
      <c r="AG17" s="10">
        <v>6.4</v>
      </c>
      <c r="AH17" s="10">
        <v>6.4</v>
      </c>
      <c r="AI17" s="10"/>
      <c r="AJ17" s="10">
        <v>6.5</v>
      </c>
      <c r="AK17" s="10">
        <v>4.5999999999999996</v>
      </c>
      <c r="AL17" s="10"/>
      <c r="AM17" s="10"/>
      <c r="AN17" s="10">
        <v>25.3</v>
      </c>
      <c r="AO17" s="10"/>
      <c r="AP17" s="10"/>
      <c r="AQ17" s="57">
        <f t="shared" si="0"/>
        <v>611.89999999999986</v>
      </c>
      <c r="AR17" s="9"/>
      <c r="AS17" s="9"/>
      <c r="AT17" s="9"/>
      <c r="AU17" s="9"/>
      <c r="AV17" s="9"/>
      <c r="AW17" s="80"/>
    </row>
    <row r="18" spans="1:49" ht="22.5" customHeight="1" x14ac:dyDescent="0.25">
      <c r="A18" s="61" t="s">
        <v>68</v>
      </c>
      <c r="B18" s="49" t="s">
        <v>164</v>
      </c>
      <c r="C18" s="50" t="s">
        <v>2</v>
      </c>
      <c r="D18" s="10">
        <v>45.7</v>
      </c>
      <c r="E18" s="10">
        <v>52.6</v>
      </c>
      <c r="F18" s="10"/>
      <c r="G18" s="10"/>
      <c r="H18" s="10">
        <v>19</v>
      </c>
      <c r="I18" s="10">
        <v>51</v>
      </c>
      <c r="J18" s="10">
        <v>52.7</v>
      </c>
      <c r="K18" s="10"/>
      <c r="L18" s="10"/>
      <c r="M18" s="10">
        <v>19.600000000000001</v>
      </c>
      <c r="N18" s="10">
        <v>51</v>
      </c>
      <c r="O18" s="10">
        <v>53</v>
      </c>
      <c r="P18" s="10"/>
      <c r="Q18" s="10"/>
      <c r="R18" s="10">
        <v>19.3</v>
      </c>
      <c r="S18" s="10">
        <v>45.7</v>
      </c>
      <c r="T18" s="10">
        <v>51.8</v>
      </c>
      <c r="U18" s="10"/>
      <c r="V18" s="10"/>
      <c r="W18" s="10">
        <v>19.5</v>
      </c>
      <c r="X18" s="10"/>
      <c r="Y18" s="10"/>
      <c r="Z18" s="10">
        <v>25.5</v>
      </c>
      <c r="AA18" s="10">
        <v>25.7</v>
      </c>
      <c r="AB18" s="10">
        <v>10.4</v>
      </c>
      <c r="AC18" s="10">
        <v>15.9</v>
      </c>
      <c r="AD18" s="10"/>
      <c r="AE18" s="10"/>
      <c r="AF18" s="10">
        <v>4.3</v>
      </c>
      <c r="AG18" s="10">
        <v>6.4</v>
      </c>
      <c r="AH18" s="10">
        <v>6.4</v>
      </c>
      <c r="AI18" s="10"/>
      <c r="AJ18" s="10">
        <v>6.5</v>
      </c>
      <c r="AK18" s="10">
        <v>4.5999999999999996</v>
      </c>
      <c r="AL18" s="10"/>
      <c r="AM18" s="10"/>
      <c r="AN18" s="10">
        <v>25.3</v>
      </c>
      <c r="AO18" s="10"/>
      <c r="AP18" s="10"/>
      <c r="AQ18" s="57">
        <f t="shared" si="0"/>
        <v>611.89999999999986</v>
      </c>
      <c r="AR18" s="9"/>
      <c r="AS18" s="9"/>
      <c r="AT18" s="9"/>
      <c r="AU18" s="9"/>
      <c r="AV18" s="9"/>
      <c r="AW18" s="80"/>
    </row>
    <row r="19" spans="1:49" ht="36.6" customHeight="1" x14ac:dyDescent="0.25">
      <c r="A19" s="61" t="s">
        <v>69</v>
      </c>
      <c r="B19" s="49" t="s">
        <v>194</v>
      </c>
      <c r="C19" s="50" t="s">
        <v>2</v>
      </c>
      <c r="D19" s="10">
        <v>45.7</v>
      </c>
      <c r="E19" s="10">
        <v>52.6</v>
      </c>
      <c r="F19" s="10"/>
      <c r="G19" s="10"/>
      <c r="H19" s="10">
        <v>19</v>
      </c>
      <c r="I19" s="10">
        <v>51</v>
      </c>
      <c r="J19" s="10">
        <v>52.7</v>
      </c>
      <c r="K19" s="10"/>
      <c r="L19" s="10"/>
      <c r="M19" s="10">
        <v>19.600000000000001</v>
      </c>
      <c r="N19" s="10">
        <v>51</v>
      </c>
      <c r="O19" s="10">
        <v>53</v>
      </c>
      <c r="P19" s="10"/>
      <c r="Q19" s="10"/>
      <c r="R19" s="10">
        <v>19.3</v>
      </c>
      <c r="S19" s="10">
        <v>45.7</v>
      </c>
      <c r="T19" s="10">
        <v>51.8</v>
      </c>
      <c r="U19" s="10"/>
      <c r="V19" s="10"/>
      <c r="W19" s="10">
        <v>19.5</v>
      </c>
      <c r="X19" s="10"/>
      <c r="Y19" s="10"/>
      <c r="Z19" s="10">
        <v>25.5</v>
      </c>
      <c r="AA19" s="10">
        <v>25.7</v>
      </c>
      <c r="AB19" s="10">
        <v>10.4</v>
      </c>
      <c r="AC19" s="10">
        <v>15.9</v>
      </c>
      <c r="AD19" s="10"/>
      <c r="AE19" s="10"/>
      <c r="AF19" s="10">
        <v>4.3</v>
      </c>
      <c r="AG19" s="10">
        <v>6.4</v>
      </c>
      <c r="AH19" s="10">
        <v>6.4</v>
      </c>
      <c r="AI19" s="10"/>
      <c r="AJ19" s="10">
        <v>6.5</v>
      </c>
      <c r="AK19" s="10">
        <v>4.5999999999999996</v>
      </c>
      <c r="AL19" s="10"/>
      <c r="AM19" s="10"/>
      <c r="AN19" s="10">
        <v>25.3</v>
      </c>
      <c r="AO19" s="10"/>
      <c r="AP19" s="10"/>
      <c r="AQ19" s="57">
        <f t="shared" si="0"/>
        <v>611.89999999999986</v>
      </c>
      <c r="AR19" s="9"/>
      <c r="AS19" s="9"/>
      <c r="AT19" s="9"/>
      <c r="AU19" s="9"/>
      <c r="AV19" s="9"/>
      <c r="AW19" s="80" t="s">
        <v>193</v>
      </c>
    </row>
    <row r="20" spans="1:49" ht="16.5" customHeight="1" x14ac:dyDescent="0.25">
      <c r="A20" s="61" t="s">
        <v>70</v>
      </c>
      <c r="B20" s="49" t="s">
        <v>162</v>
      </c>
      <c r="C20" s="50" t="s">
        <v>3</v>
      </c>
      <c r="D20" s="10">
        <v>26</v>
      </c>
      <c r="E20" s="10">
        <v>27</v>
      </c>
      <c r="F20" s="10"/>
      <c r="G20" s="10"/>
      <c r="H20" s="10">
        <v>15</v>
      </c>
      <c r="I20" s="10">
        <v>26</v>
      </c>
      <c r="J20" s="10">
        <v>26.5</v>
      </c>
      <c r="K20" s="10"/>
      <c r="L20" s="10"/>
      <c r="M20" s="10">
        <v>16</v>
      </c>
      <c r="N20" s="10">
        <v>26</v>
      </c>
      <c r="O20" s="10">
        <v>27</v>
      </c>
      <c r="P20" s="10"/>
      <c r="Q20" s="10"/>
      <c r="R20" s="10">
        <v>15</v>
      </c>
      <c r="S20" s="10">
        <v>26</v>
      </c>
      <c r="T20" s="10">
        <v>26</v>
      </c>
      <c r="U20" s="10"/>
      <c r="V20" s="10"/>
      <c r="W20" s="10">
        <v>16</v>
      </c>
      <c r="X20" s="10"/>
      <c r="Y20" s="10"/>
      <c r="Z20" s="10">
        <v>19.5</v>
      </c>
      <c r="AA20" s="10">
        <v>20</v>
      </c>
      <c r="AB20" s="10">
        <v>12.5</v>
      </c>
      <c r="AC20" s="10">
        <v>16</v>
      </c>
      <c r="AD20" s="10"/>
      <c r="AE20" s="10"/>
      <c r="AF20" s="10">
        <v>7.5</v>
      </c>
      <c r="AG20" s="10">
        <v>9.5</v>
      </c>
      <c r="AH20" s="10">
        <v>10.5</v>
      </c>
      <c r="AI20" s="10"/>
      <c r="AJ20" s="10">
        <v>9.5</v>
      </c>
      <c r="AK20" s="10">
        <v>9</v>
      </c>
      <c r="AL20" s="10"/>
      <c r="AM20" s="10"/>
      <c r="AN20" s="10">
        <v>24.5</v>
      </c>
      <c r="AO20" s="10"/>
      <c r="AP20" s="10"/>
      <c r="AQ20" s="57">
        <f t="shared" si="0"/>
        <v>411</v>
      </c>
      <c r="AR20" s="9"/>
      <c r="AS20" s="9"/>
      <c r="AT20" s="9"/>
      <c r="AU20" s="9"/>
      <c r="AV20" s="9"/>
      <c r="AW20" s="80"/>
    </row>
    <row r="21" spans="1:49" s="3" customFormat="1" x14ac:dyDescent="0.25">
      <c r="A21" s="67" t="s">
        <v>11</v>
      </c>
      <c r="B21" s="68" t="s">
        <v>135</v>
      </c>
      <c r="C21" s="4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69">
        <f>AQ23</f>
        <v>28.599999999999998</v>
      </c>
      <c r="AR21" s="9"/>
      <c r="AS21" s="9"/>
      <c r="AT21" s="9"/>
      <c r="AU21" s="9"/>
      <c r="AV21" s="9"/>
      <c r="AW21" s="80"/>
    </row>
    <row r="22" spans="1:49" ht="30" x14ac:dyDescent="0.25">
      <c r="A22" s="51" t="s">
        <v>71</v>
      </c>
      <c r="B22" s="49" t="s">
        <v>132</v>
      </c>
      <c r="C22" s="50" t="s">
        <v>2</v>
      </c>
      <c r="D22" s="10"/>
      <c r="E22" s="10"/>
      <c r="F22" s="10">
        <f>8.1+(9.9*0.09)</f>
        <v>8.9909999999999997</v>
      </c>
      <c r="G22" s="10"/>
      <c r="H22" s="10"/>
      <c r="I22" s="10"/>
      <c r="J22" s="10"/>
      <c r="K22" s="10">
        <f>6.6+(8.52*0.09)</f>
        <v>7.3667999999999996</v>
      </c>
      <c r="L22" s="10"/>
      <c r="M22" s="10"/>
      <c r="N22" s="10"/>
      <c r="O22" s="10"/>
      <c r="P22" s="10">
        <f>6.1+(8.5*0.09)</f>
        <v>6.8649999999999993</v>
      </c>
      <c r="Q22" s="10"/>
      <c r="R22" s="10"/>
      <c r="S22" s="10"/>
      <c r="T22" s="10"/>
      <c r="U22" s="10">
        <f>7.8+10.4*0.09</f>
        <v>8.7360000000000007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57">
        <f t="shared" si="0"/>
        <v>31.958799999999997</v>
      </c>
      <c r="AR22" s="9"/>
      <c r="AS22" s="9"/>
      <c r="AT22" s="9"/>
      <c r="AU22" s="9"/>
      <c r="AV22" s="9"/>
      <c r="AW22" s="80"/>
    </row>
    <row r="23" spans="1:49" ht="30" x14ac:dyDescent="0.25">
      <c r="A23" s="51" t="s">
        <v>72</v>
      </c>
      <c r="B23" s="49" t="s">
        <v>134</v>
      </c>
      <c r="C23" s="50" t="s">
        <v>2</v>
      </c>
      <c r="D23" s="10"/>
      <c r="E23" s="10"/>
      <c r="F23" s="10">
        <f>8.1</f>
        <v>8.1</v>
      </c>
      <c r="G23" s="10"/>
      <c r="H23" s="10"/>
      <c r="I23" s="10"/>
      <c r="J23" s="10"/>
      <c r="K23" s="10">
        <v>6.6</v>
      </c>
      <c r="L23" s="10"/>
      <c r="M23" s="10"/>
      <c r="N23" s="10"/>
      <c r="O23" s="10"/>
      <c r="P23" s="10">
        <f>6.1</f>
        <v>6.1</v>
      </c>
      <c r="Q23" s="10"/>
      <c r="R23" s="10"/>
      <c r="S23" s="10"/>
      <c r="T23" s="10"/>
      <c r="U23" s="10">
        <v>7.8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57">
        <f t="shared" si="0"/>
        <v>28.599999999999998</v>
      </c>
      <c r="AR23" s="9"/>
      <c r="AS23" s="9"/>
      <c r="AT23" s="9"/>
      <c r="AU23" s="9"/>
      <c r="AV23" s="9"/>
      <c r="AW23" s="80"/>
    </row>
    <row r="24" spans="1:49" ht="30" x14ac:dyDescent="0.25">
      <c r="A24" s="51" t="s">
        <v>73</v>
      </c>
      <c r="B24" s="49" t="s">
        <v>136</v>
      </c>
      <c r="C24" s="50" t="s">
        <v>2</v>
      </c>
      <c r="D24" s="10"/>
      <c r="E24" s="10"/>
      <c r="F24" s="10">
        <f>8.1</f>
        <v>8.1</v>
      </c>
      <c r="G24" s="10"/>
      <c r="H24" s="10"/>
      <c r="I24" s="10"/>
      <c r="J24" s="10"/>
      <c r="K24" s="10">
        <v>6.6</v>
      </c>
      <c r="L24" s="10"/>
      <c r="M24" s="10"/>
      <c r="N24" s="10"/>
      <c r="O24" s="10"/>
      <c r="P24" s="10">
        <v>6.1</v>
      </c>
      <c r="Q24" s="10"/>
      <c r="R24" s="10"/>
      <c r="S24" s="10"/>
      <c r="T24" s="10"/>
      <c r="U24" s="10">
        <v>7.8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57">
        <f t="shared" si="0"/>
        <v>28.599999999999998</v>
      </c>
      <c r="AR24" s="9"/>
      <c r="AS24" s="9"/>
      <c r="AT24" s="9"/>
      <c r="AU24" s="9"/>
      <c r="AV24" s="9"/>
      <c r="AW24" s="80"/>
    </row>
    <row r="25" spans="1:49" ht="32.25" customHeight="1" x14ac:dyDescent="0.25">
      <c r="A25" s="51" t="s">
        <v>74</v>
      </c>
      <c r="B25" s="49" t="s">
        <v>195</v>
      </c>
      <c r="C25" s="50" t="s">
        <v>2</v>
      </c>
      <c r="D25" s="10"/>
      <c r="E25" s="10"/>
      <c r="F25" s="10">
        <f>8.1</f>
        <v>8.1</v>
      </c>
      <c r="G25" s="10"/>
      <c r="H25" s="10"/>
      <c r="I25" s="10"/>
      <c r="J25" s="10"/>
      <c r="K25" s="10">
        <v>6.6</v>
      </c>
      <c r="L25" s="10"/>
      <c r="M25" s="10"/>
      <c r="N25" s="10"/>
      <c r="O25" s="10"/>
      <c r="P25" s="10">
        <v>6.1</v>
      </c>
      <c r="Q25" s="10"/>
      <c r="R25" s="10"/>
      <c r="S25" s="10"/>
      <c r="T25" s="10"/>
      <c r="U25" s="10">
        <v>7.8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57">
        <f t="shared" si="0"/>
        <v>28.599999999999998</v>
      </c>
      <c r="AR25" s="9"/>
      <c r="AS25" s="9"/>
      <c r="AT25" s="9"/>
      <c r="AU25" s="9"/>
      <c r="AV25" s="9"/>
      <c r="AW25" s="80" t="s">
        <v>196</v>
      </c>
    </row>
    <row r="26" spans="1:49" s="3" customFormat="1" ht="28.5" customHeight="1" x14ac:dyDescent="0.25">
      <c r="A26" s="67" t="s">
        <v>12</v>
      </c>
      <c r="B26" s="68" t="s">
        <v>138</v>
      </c>
      <c r="C26" s="4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69">
        <f>AQ28</f>
        <v>94</v>
      </c>
      <c r="AR26" s="9"/>
      <c r="AS26" s="9"/>
      <c r="AT26" s="9"/>
      <c r="AU26" s="9"/>
      <c r="AV26" s="9"/>
      <c r="AW26" s="80"/>
    </row>
    <row r="27" spans="1:49" ht="29.45" customHeight="1" x14ac:dyDescent="0.25">
      <c r="A27" s="36" t="s">
        <v>142</v>
      </c>
      <c r="B27" s="49" t="s">
        <v>132</v>
      </c>
      <c r="C27" s="35" t="s">
        <v>2</v>
      </c>
      <c r="D27" s="10"/>
      <c r="E27" s="10"/>
      <c r="F27" s="10"/>
      <c r="G27" s="10">
        <f>22+(17.5*0.09)</f>
        <v>23.574999999999999</v>
      </c>
      <c r="H27" s="10"/>
      <c r="I27" s="10"/>
      <c r="J27" s="10"/>
      <c r="K27" s="10"/>
      <c r="L27" s="10">
        <f>22+(23.6*0.09)</f>
        <v>24.123999999999999</v>
      </c>
      <c r="M27" s="10"/>
      <c r="N27" s="10"/>
      <c r="O27" s="10"/>
      <c r="P27" s="10"/>
      <c r="Q27" s="10">
        <f>22.2+(21.6*0.09)</f>
        <v>24.143999999999998</v>
      </c>
      <c r="R27" s="10"/>
      <c r="S27" s="10"/>
      <c r="T27" s="10"/>
      <c r="U27" s="10"/>
      <c r="V27" s="10">
        <f>22.3+17.98*0.106</f>
        <v>24.205880000000001</v>
      </c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>
        <f>5.5+8.8*0.09</f>
        <v>6.2919999999999998</v>
      </c>
      <c r="AN27" s="10"/>
      <c r="AO27" s="10"/>
      <c r="AP27" s="10"/>
      <c r="AQ27" s="57">
        <f t="shared" si="0"/>
        <v>102.34088</v>
      </c>
      <c r="AR27" s="9"/>
      <c r="AS27" s="9"/>
      <c r="AT27" s="9"/>
      <c r="AU27" s="9"/>
      <c r="AV27" s="9"/>
      <c r="AW27" s="80"/>
    </row>
    <row r="28" spans="1:49" ht="38.1" customHeight="1" x14ac:dyDescent="0.25">
      <c r="A28" s="59" t="s">
        <v>143</v>
      </c>
      <c r="B28" s="49" t="s">
        <v>139</v>
      </c>
      <c r="C28" s="35" t="s">
        <v>2</v>
      </c>
      <c r="D28" s="10"/>
      <c r="E28" s="10"/>
      <c r="F28" s="10"/>
      <c r="G28" s="10">
        <v>22</v>
      </c>
      <c r="H28" s="10"/>
      <c r="I28" s="10"/>
      <c r="J28" s="10"/>
      <c r="K28" s="10"/>
      <c r="L28" s="10">
        <v>22</v>
      </c>
      <c r="M28" s="10"/>
      <c r="N28" s="10"/>
      <c r="O28" s="10"/>
      <c r="P28" s="10"/>
      <c r="Q28" s="10">
        <v>22.2</v>
      </c>
      <c r="R28" s="10"/>
      <c r="S28" s="10"/>
      <c r="T28" s="10"/>
      <c r="U28" s="10"/>
      <c r="V28" s="10">
        <v>22.3</v>
      </c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>
        <v>5.5</v>
      </c>
      <c r="AN28" s="10"/>
      <c r="AO28" s="10"/>
      <c r="AP28" s="10"/>
      <c r="AQ28" s="57">
        <f t="shared" si="0"/>
        <v>94</v>
      </c>
      <c r="AR28" s="9"/>
      <c r="AS28" s="9"/>
      <c r="AT28" s="9"/>
      <c r="AU28" s="9"/>
      <c r="AV28" s="9"/>
      <c r="AW28" s="80"/>
    </row>
    <row r="29" spans="1:49" ht="31.5" customHeight="1" x14ac:dyDescent="0.25">
      <c r="A29" s="59" t="s">
        <v>144</v>
      </c>
      <c r="B29" s="49" t="s">
        <v>136</v>
      </c>
      <c r="C29" s="35" t="s">
        <v>2</v>
      </c>
      <c r="D29" s="10"/>
      <c r="E29" s="10"/>
      <c r="F29" s="10"/>
      <c r="G29" s="10">
        <v>22</v>
      </c>
      <c r="H29" s="10"/>
      <c r="I29" s="10"/>
      <c r="J29" s="10"/>
      <c r="K29" s="10"/>
      <c r="L29" s="10">
        <v>22</v>
      </c>
      <c r="M29" s="10"/>
      <c r="N29" s="10"/>
      <c r="O29" s="10"/>
      <c r="P29" s="10"/>
      <c r="Q29" s="10">
        <v>22.2</v>
      </c>
      <c r="R29" s="10"/>
      <c r="S29" s="10"/>
      <c r="T29" s="10"/>
      <c r="U29" s="10"/>
      <c r="V29" s="10">
        <v>22.3</v>
      </c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>
        <v>5.5</v>
      </c>
      <c r="AN29" s="10"/>
      <c r="AO29" s="10"/>
      <c r="AP29" s="10"/>
      <c r="AQ29" s="57">
        <f t="shared" si="0"/>
        <v>94</v>
      </c>
      <c r="AR29" s="9"/>
      <c r="AS29" s="9"/>
      <c r="AT29" s="9"/>
      <c r="AU29" s="9"/>
      <c r="AV29" s="9"/>
      <c r="AW29" s="80"/>
    </row>
    <row r="30" spans="1:49" ht="47.25" customHeight="1" x14ac:dyDescent="0.25">
      <c r="A30" s="59" t="s">
        <v>75</v>
      </c>
      <c r="B30" s="86" t="s">
        <v>197</v>
      </c>
      <c r="C30" s="35" t="s">
        <v>2</v>
      </c>
      <c r="D30" s="10"/>
      <c r="E30" s="10"/>
      <c r="F30" s="10"/>
      <c r="G30" s="10">
        <v>22</v>
      </c>
      <c r="H30" s="10"/>
      <c r="I30" s="10"/>
      <c r="J30" s="10"/>
      <c r="K30" s="10"/>
      <c r="L30" s="10">
        <v>22</v>
      </c>
      <c r="M30" s="10"/>
      <c r="N30" s="10"/>
      <c r="O30" s="10"/>
      <c r="P30" s="10"/>
      <c r="Q30" s="10">
        <v>22.2</v>
      </c>
      <c r="R30" s="10"/>
      <c r="S30" s="10"/>
      <c r="T30" s="10"/>
      <c r="U30" s="10"/>
      <c r="V30" s="10">
        <v>22.3</v>
      </c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>
        <v>5.5</v>
      </c>
      <c r="AN30" s="10"/>
      <c r="AO30" s="10"/>
      <c r="AP30" s="10"/>
      <c r="AQ30" s="57">
        <f t="shared" si="0"/>
        <v>94</v>
      </c>
      <c r="AR30" s="9"/>
      <c r="AS30" s="9"/>
      <c r="AT30" s="9"/>
      <c r="AU30" s="9"/>
      <c r="AV30" s="9"/>
      <c r="AW30" s="80" t="s">
        <v>196</v>
      </c>
    </row>
    <row r="31" spans="1:49" s="3" customFormat="1" ht="31.5" x14ac:dyDescent="0.25">
      <c r="A31" s="62" t="s">
        <v>13</v>
      </c>
      <c r="B31" s="66" t="s">
        <v>140</v>
      </c>
      <c r="C31" s="2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69">
        <f>AQ34</f>
        <v>180.8</v>
      </c>
      <c r="AR31" s="9"/>
      <c r="AS31" s="9"/>
      <c r="AT31" s="9"/>
      <c r="AU31" s="9"/>
      <c r="AV31" s="9"/>
      <c r="AW31" s="80"/>
    </row>
    <row r="32" spans="1:49" ht="30" x14ac:dyDescent="0.25">
      <c r="A32" s="36" t="s">
        <v>76</v>
      </c>
      <c r="B32" s="53" t="s">
        <v>141</v>
      </c>
      <c r="C32" s="35" t="s">
        <v>2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>
        <f>78+35.1*0.086</f>
        <v>81.018600000000006</v>
      </c>
      <c r="AF32" s="10"/>
      <c r="AG32" s="10"/>
      <c r="AH32" s="10"/>
      <c r="AI32" s="10">
        <f>102.8+39.2*0.086</f>
        <v>106.1712</v>
      </c>
      <c r="AJ32" s="10"/>
      <c r="AK32" s="10"/>
      <c r="AL32" s="10"/>
      <c r="AM32" s="10"/>
      <c r="AN32" s="10"/>
      <c r="AO32" s="10"/>
      <c r="AP32" s="10"/>
      <c r="AQ32" s="57">
        <f t="shared" si="0"/>
        <v>187.18979999999999</v>
      </c>
      <c r="AR32" s="9"/>
      <c r="AS32" s="9"/>
      <c r="AT32" s="9"/>
      <c r="AU32" s="9"/>
      <c r="AV32" s="9"/>
      <c r="AW32" s="80"/>
    </row>
    <row r="33" spans="1:49" x14ac:dyDescent="0.25">
      <c r="A33" s="73" t="s">
        <v>77</v>
      </c>
      <c r="B33" s="78" t="s">
        <v>166</v>
      </c>
      <c r="C33" s="74" t="s">
        <v>2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72"/>
      <c r="AR33" s="9"/>
      <c r="AS33" s="9"/>
      <c r="AT33" s="9"/>
      <c r="AU33" s="9"/>
      <c r="AV33" s="9"/>
      <c r="AW33" s="80"/>
    </row>
    <row r="34" spans="1:49" ht="30" x14ac:dyDescent="0.25">
      <c r="A34" s="73" t="s">
        <v>78</v>
      </c>
      <c r="B34" s="49" t="s">
        <v>198</v>
      </c>
      <c r="C34" s="35" t="s">
        <v>2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>
        <v>78</v>
      </c>
      <c r="AF34" s="10"/>
      <c r="AG34" s="10"/>
      <c r="AH34" s="10"/>
      <c r="AI34" s="10">
        <v>102.8</v>
      </c>
      <c r="AJ34" s="10"/>
      <c r="AK34" s="10"/>
      <c r="AL34" s="10"/>
      <c r="AM34" s="10"/>
      <c r="AN34" s="10"/>
      <c r="AO34" s="10"/>
      <c r="AP34" s="10"/>
      <c r="AQ34" s="57">
        <f t="shared" si="0"/>
        <v>180.8</v>
      </c>
      <c r="AR34" s="9"/>
      <c r="AS34" s="9"/>
      <c r="AT34" s="9"/>
      <c r="AU34" s="9"/>
      <c r="AV34" s="9"/>
      <c r="AW34" s="80"/>
    </row>
    <row r="35" spans="1:49" ht="18.75" customHeight="1" x14ac:dyDescent="0.25">
      <c r="A35" s="73" t="s">
        <v>79</v>
      </c>
      <c r="B35" s="49" t="s">
        <v>164</v>
      </c>
      <c r="C35" s="35" t="s">
        <v>2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>
        <v>78</v>
      </c>
      <c r="AF35" s="10"/>
      <c r="AG35" s="10"/>
      <c r="AH35" s="10"/>
      <c r="AI35" s="10">
        <v>102.8</v>
      </c>
      <c r="AJ35" s="10"/>
      <c r="AK35" s="10"/>
      <c r="AL35" s="10"/>
      <c r="AM35" s="10"/>
      <c r="AN35" s="10"/>
      <c r="AO35" s="10"/>
      <c r="AP35" s="10"/>
      <c r="AQ35" s="57">
        <f t="shared" si="0"/>
        <v>180.8</v>
      </c>
      <c r="AR35" s="9"/>
      <c r="AS35" s="9"/>
      <c r="AT35" s="9"/>
      <c r="AU35" s="9"/>
      <c r="AV35" s="9"/>
      <c r="AW35" s="80"/>
    </row>
    <row r="36" spans="1:49" ht="30" x14ac:dyDescent="0.25">
      <c r="A36" s="73" t="s">
        <v>80</v>
      </c>
      <c r="B36" s="49" t="s">
        <v>194</v>
      </c>
      <c r="C36" s="35" t="s">
        <v>2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>
        <v>78</v>
      </c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57">
        <f>D36+E36+F36+G36+H36+I36+J36+K36+L36+M36+N36+O36+P36+Q36+R36+S36+T36+U36+V36+W36+X36+Y36+Z36+AA36+AB36+AC36+AD36+AE36+AF36+AG36+AH36+AI36+AJ36+AK36+AL36+AM36+AN36+AO36+AP36</f>
        <v>78</v>
      </c>
      <c r="AR36" s="9"/>
      <c r="AS36" s="9"/>
      <c r="AT36" s="9"/>
      <c r="AU36" s="9"/>
      <c r="AV36" s="9"/>
      <c r="AW36" s="80" t="s">
        <v>200</v>
      </c>
    </row>
    <row r="37" spans="1:49" ht="30" x14ac:dyDescent="0.25">
      <c r="A37" s="83" t="s">
        <v>165</v>
      </c>
      <c r="B37" s="49" t="s">
        <v>209</v>
      </c>
      <c r="C37" s="84" t="s">
        <v>2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>
        <v>102.8</v>
      </c>
      <c r="AJ37" s="10"/>
      <c r="AK37" s="10"/>
      <c r="AL37" s="10"/>
      <c r="AM37" s="10"/>
      <c r="AN37" s="10"/>
      <c r="AO37" s="10"/>
      <c r="AP37" s="10"/>
      <c r="AQ37" s="80">
        <f>D37+E37+F37+G37+H37+I37+J37+K37+L37+M37+N37+O37+P37+Q37+R37+S37+T37+U37+V37+W37+X37+Y37+Z37+AA37+AB37+AC37+AD37+AE37+AF37+AG37+AH37+AI37+AJ37+AK37+AL37+AM37+AN37+AO37+AP37</f>
        <v>102.8</v>
      </c>
      <c r="AR37" s="9"/>
      <c r="AS37" s="9"/>
      <c r="AT37" s="9"/>
      <c r="AU37" s="9"/>
      <c r="AV37" s="9"/>
      <c r="AW37" s="80" t="s">
        <v>201</v>
      </c>
    </row>
    <row r="38" spans="1:49" ht="18.95" customHeight="1" x14ac:dyDescent="0.25">
      <c r="A38" s="73" t="s">
        <v>199</v>
      </c>
      <c r="B38" s="49" t="s">
        <v>163</v>
      </c>
      <c r="C38" s="35" t="s">
        <v>2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>
        <v>36</v>
      </c>
      <c r="AF38" s="10"/>
      <c r="AG38" s="10"/>
      <c r="AH38" s="10"/>
      <c r="AI38" s="10">
        <v>40</v>
      </c>
      <c r="AJ38" s="10"/>
      <c r="AK38" s="10"/>
      <c r="AL38" s="10"/>
      <c r="AM38" s="10"/>
      <c r="AN38" s="10"/>
      <c r="AO38" s="10"/>
      <c r="AP38" s="10"/>
      <c r="AQ38" s="57">
        <f t="shared" si="0"/>
        <v>76</v>
      </c>
      <c r="AR38" s="9"/>
      <c r="AS38" s="9"/>
      <c r="AT38" s="9"/>
      <c r="AU38" s="9"/>
      <c r="AV38" s="9"/>
      <c r="AW38" s="80"/>
    </row>
    <row r="39" spans="1:49" s="14" customFormat="1" ht="31.5" x14ac:dyDescent="0.25">
      <c r="A39" s="64" t="s">
        <v>14</v>
      </c>
      <c r="B39" s="65" t="s">
        <v>145</v>
      </c>
      <c r="C39" s="13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69">
        <f>AQ41</f>
        <v>192.6</v>
      </c>
      <c r="AR39" s="9"/>
      <c r="AS39" s="9"/>
      <c r="AT39" s="9"/>
      <c r="AU39" s="9"/>
      <c r="AV39" s="9"/>
      <c r="AW39" s="80"/>
    </row>
    <row r="40" spans="1:49" ht="30" x14ac:dyDescent="0.25">
      <c r="A40" s="36" t="s">
        <v>81</v>
      </c>
      <c r="B40" s="49" t="s">
        <v>132</v>
      </c>
      <c r="C40" s="35" t="s">
        <v>2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>
        <f>110.5+74.4*0.092</f>
        <v>117.34480000000001</v>
      </c>
      <c r="Y40" s="10">
        <f>70.7+60.4*0.092</f>
        <v>76.256799999999998</v>
      </c>
      <c r="Z40" s="10"/>
      <c r="AA40" s="10"/>
      <c r="AB40" s="10"/>
      <c r="AC40" s="10"/>
      <c r="AD40" s="10">
        <f>5.1+7.4*0.092</f>
        <v>5.7807999999999993</v>
      </c>
      <c r="AE40" s="10"/>
      <c r="AF40" s="10"/>
      <c r="AG40" s="10"/>
      <c r="AH40" s="10"/>
      <c r="AI40" s="10"/>
      <c r="AJ40" s="10"/>
      <c r="AK40" s="10"/>
      <c r="AL40" s="10">
        <f>6.3+11.21*0.092</f>
        <v>7.3313199999999998</v>
      </c>
      <c r="AM40" s="10"/>
      <c r="AN40" s="10"/>
      <c r="AO40" s="10"/>
      <c r="AP40" s="10"/>
      <c r="AQ40" s="57">
        <f t="shared" si="0"/>
        <v>206.71372000000002</v>
      </c>
      <c r="AR40" s="9"/>
      <c r="AS40" s="9"/>
      <c r="AT40" s="9"/>
      <c r="AU40" s="9"/>
      <c r="AV40" s="9"/>
      <c r="AW40" s="80"/>
    </row>
    <row r="41" spans="1:49" ht="30" x14ac:dyDescent="0.25">
      <c r="A41" s="59" t="s">
        <v>82</v>
      </c>
      <c r="B41" s="49" t="s">
        <v>146</v>
      </c>
      <c r="C41" s="35" t="s">
        <v>2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>
        <v>110.5</v>
      </c>
      <c r="Y41" s="10">
        <v>70.7</v>
      </c>
      <c r="Z41" s="10"/>
      <c r="AA41" s="10"/>
      <c r="AB41" s="10"/>
      <c r="AC41" s="10"/>
      <c r="AD41" s="10">
        <v>5.0999999999999996</v>
      </c>
      <c r="AE41" s="10"/>
      <c r="AF41" s="10"/>
      <c r="AG41" s="10"/>
      <c r="AH41" s="10"/>
      <c r="AI41" s="10"/>
      <c r="AJ41" s="10"/>
      <c r="AK41" s="10"/>
      <c r="AL41" s="10">
        <v>6.3</v>
      </c>
      <c r="AM41" s="10"/>
      <c r="AN41" s="10"/>
      <c r="AO41" s="10"/>
      <c r="AP41" s="10"/>
      <c r="AQ41" s="57">
        <f t="shared" si="0"/>
        <v>192.6</v>
      </c>
      <c r="AR41" s="9"/>
      <c r="AS41" s="9"/>
      <c r="AT41" s="9"/>
      <c r="AU41" s="9"/>
      <c r="AV41" s="9"/>
      <c r="AW41" s="80"/>
    </row>
    <row r="42" spans="1:49" x14ac:dyDescent="0.25">
      <c r="A42" s="59" t="s">
        <v>83</v>
      </c>
      <c r="B42" s="49" t="s">
        <v>137</v>
      </c>
      <c r="C42" s="35" t="s">
        <v>2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>
        <v>110.5</v>
      </c>
      <c r="Y42" s="10">
        <v>70.7</v>
      </c>
      <c r="Z42" s="10"/>
      <c r="AA42" s="10"/>
      <c r="AB42" s="10"/>
      <c r="AC42" s="10"/>
      <c r="AD42" s="10">
        <v>5.0999999999999996</v>
      </c>
      <c r="AE42" s="10"/>
      <c r="AF42" s="10"/>
      <c r="AG42" s="10"/>
      <c r="AH42" s="10"/>
      <c r="AI42" s="10"/>
      <c r="AJ42" s="10"/>
      <c r="AK42" s="10"/>
      <c r="AL42" s="10">
        <v>6.3</v>
      </c>
      <c r="AM42" s="10"/>
      <c r="AN42" s="10"/>
      <c r="AO42" s="10"/>
      <c r="AP42" s="10"/>
      <c r="AQ42" s="57">
        <f t="shared" si="0"/>
        <v>192.6</v>
      </c>
      <c r="AR42" s="9"/>
      <c r="AS42" s="9"/>
      <c r="AT42" s="9"/>
      <c r="AU42" s="9"/>
      <c r="AV42" s="9"/>
      <c r="AW42" s="80" t="s">
        <v>191</v>
      </c>
    </row>
    <row r="43" spans="1:49" x14ac:dyDescent="0.25">
      <c r="A43" s="59" t="s">
        <v>84</v>
      </c>
      <c r="B43" s="86" t="s">
        <v>190</v>
      </c>
      <c r="C43" s="35" t="s">
        <v>3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>
        <v>75</v>
      </c>
      <c r="Y43" s="10">
        <v>61</v>
      </c>
      <c r="Z43" s="10"/>
      <c r="AA43" s="10"/>
      <c r="AB43" s="10"/>
      <c r="AC43" s="10"/>
      <c r="AD43" s="10">
        <v>7.5</v>
      </c>
      <c r="AE43" s="10"/>
      <c r="AF43" s="10"/>
      <c r="AG43" s="10"/>
      <c r="AH43" s="10"/>
      <c r="AI43" s="10"/>
      <c r="AJ43" s="10"/>
      <c r="AK43" s="10"/>
      <c r="AL43" s="37"/>
      <c r="AM43" s="10"/>
      <c r="AN43" s="10"/>
      <c r="AO43" s="10"/>
      <c r="AP43" s="10"/>
      <c r="AQ43" s="57">
        <f t="shared" si="0"/>
        <v>143.5</v>
      </c>
      <c r="AR43" s="9"/>
      <c r="AS43" s="9"/>
      <c r="AT43" s="9"/>
      <c r="AU43" s="9"/>
      <c r="AV43" s="9"/>
      <c r="AW43" s="80" t="s">
        <v>192</v>
      </c>
    </row>
    <row r="44" spans="1:49" x14ac:dyDescent="0.25">
      <c r="A44" s="63" t="s">
        <v>15</v>
      </c>
      <c r="B44" s="17" t="s">
        <v>148</v>
      </c>
      <c r="C44" s="35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57"/>
      <c r="AR44" s="15"/>
      <c r="AS44" s="15"/>
      <c r="AT44" s="15"/>
      <c r="AU44" s="15"/>
      <c r="AV44" s="15"/>
      <c r="AW44" s="80"/>
    </row>
    <row r="45" spans="1:49" ht="80.45" customHeight="1" x14ac:dyDescent="0.25">
      <c r="A45" s="36" t="s">
        <v>16</v>
      </c>
      <c r="B45" s="26" t="s">
        <v>204</v>
      </c>
      <c r="C45" s="35" t="s">
        <v>2</v>
      </c>
      <c r="D45" s="10">
        <v>45.7</v>
      </c>
      <c r="E45" s="10">
        <v>52.6</v>
      </c>
      <c r="F45" s="10">
        <f>7.7</f>
        <v>7.7</v>
      </c>
      <c r="G45" s="10"/>
      <c r="H45" s="10">
        <v>19</v>
      </c>
      <c r="I45" s="10">
        <v>51</v>
      </c>
      <c r="J45" s="10">
        <v>52.7</v>
      </c>
      <c r="K45" s="10">
        <v>6.3</v>
      </c>
      <c r="L45" s="10"/>
      <c r="M45" s="10">
        <v>19.2</v>
      </c>
      <c r="N45" s="10">
        <v>51</v>
      </c>
      <c r="O45" s="10">
        <v>53</v>
      </c>
      <c r="P45" s="10">
        <v>5.9</v>
      </c>
      <c r="Q45" s="10"/>
      <c r="R45" s="10">
        <v>19.3</v>
      </c>
      <c r="S45" s="10">
        <v>45.7</v>
      </c>
      <c r="T45" s="10">
        <v>51.8</v>
      </c>
      <c r="U45" s="10">
        <v>7.5</v>
      </c>
      <c r="V45" s="10"/>
      <c r="W45" s="10">
        <v>19.3</v>
      </c>
      <c r="X45" s="10">
        <v>110</v>
      </c>
      <c r="Y45" s="10">
        <v>70.099999999999994</v>
      </c>
      <c r="Z45" s="10">
        <v>25.5</v>
      </c>
      <c r="AA45" s="10">
        <v>25.5</v>
      </c>
      <c r="AB45" s="10">
        <v>10.4</v>
      </c>
      <c r="AC45" s="10">
        <v>15.8</v>
      </c>
      <c r="AD45" s="10"/>
      <c r="AE45" s="10"/>
      <c r="AF45" s="10"/>
      <c r="AG45" s="10">
        <v>6.2</v>
      </c>
      <c r="AH45" s="10"/>
      <c r="AI45" s="10"/>
      <c r="AJ45" s="10">
        <v>6.5</v>
      </c>
      <c r="AK45" s="10"/>
      <c r="AL45" s="10"/>
      <c r="AM45" s="10"/>
      <c r="AN45" s="10">
        <v>25.3</v>
      </c>
      <c r="AO45" s="10"/>
      <c r="AP45" s="10"/>
      <c r="AQ45" s="57">
        <f t="shared" si="0"/>
        <v>803</v>
      </c>
      <c r="AR45" s="15"/>
      <c r="AS45" s="15"/>
      <c r="AT45" s="15"/>
      <c r="AU45" s="15"/>
      <c r="AV45" s="15"/>
      <c r="AW45" s="80" t="s">
        <v>202</v>
      </c>
    </row>
    <row r="46" spans="1:49" ht="80.45" customHeight="1" x14ac:dyDescent="0.25">
      <c r="A46" s="93" t="s">
        <v>214</v>
      </c>
      <c r="B46" s="116" t="s">
        <v>215</v>
      </c>
      <c r="C46" s="117" t="s">
        <v>2</v>
      </c>
      <c r="D46" s="10"/>
      <c r="E46" s="10"/>
      <c r="F46" s="10"/>
      <c r="G46" s="10">
        <v>21.7</v>
      </c>
      <c r="H46" s="10"/>
      <c r="I46" s="10"/>
      <c r="J46" s="10"/>
      <c r="K46" s="10"/>
      <c r="L46" s="10">
        <v>21.4</v>
      </c>
      <c r="M46" s="10"/>
      <c r="N46" s="10"/>
      <c r="O46" s="10"/>
      <c r="P46" s="10"/>
      <c r="Q46" s="10">
        <v>21.4</v>
      </c>
      <c r="R46" s="10"/>
      <c r="S46" s="10"/>
      <c r="T46" s="10"/>
      <c r="U46" s="10"/>
      <c r="V46" s="10">
        <v>22.1</v>
      </c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>
        <v>5.3</v>
      </c>
      <c r="AN46" s="10"/>
      <c r="AO46" s="10"/>
      <c r="AP46" s="10"/>
      <c r="AQ46" s="94">
        <f t="shared" si="0"/>
        <v>91.899999999999991</v>
      </c>
      <c r="AR46" s="15"/>
      <c r="AS46" s="15"/>
      <c r="AT46" s="15"/>
      <c r="AU46" s="15"/>
      <c r="AV46" s="15"/>
      <c r="AW46" s="94" t="s">
        <v>202</v>
      </c>
    </row>
    <row r="47" spans="1:49" ht="78" customHeight="1" x14ac:dyDescent="0.25">
      <c r="A47" s="59" t="s">
        <v>17</v>
      </c>
      <c r="B47" s="90" t="s">
        <v>203</v>
      </c>
      <c r="C47" s="35" t="s">
        <v>2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>
        <v>10.9</v>
      </c>
      <c r="AP47" s="10">
        <v>10.8</v>
      </c>
      <c r="AQ47" s="57">
        <f t="shared" si="0"/>
        <v>21.700000000000003</v>
      </c>
      <c r="AR47" s="15"/>
      <c r="AS47" s="15"/>
      <c r="AT47" s="15"/>
      <c r="AU47" s="15"/>
      <c r="AV47" s="15"/>
      <c r="AW47" s="80"/>
    </row>
    <row r="48" spans="1:49" ht="75.95" customHeight="1" x14ac:dyDescent="0.25">
      <c r="A48" s="59" t="s">
        <v>18</v>
      </c>
      <c r="B48" s="26" t="s">
        <v>205</v>
      </c>
      <c r="C48" s="35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>
        <v>5.0999999999999996</v>
      </c>
      <c r="AE48" s="10">
        <v>77.8</v>
      </c>
      <c r="AF48" s="10"/>
      <c r="AG48" s="10"/>
      <c r="AH48" s="10"/>
      <c r="AI48" s="10">
        <v>102.8</v>
      </c>
      <c r="AJ48" s="10"/>
      <c r="AK48" s="10"/>
      <c r="AL48" s="10"/>
      <c r="AM48" s="10"/>
      <c r="AN48" s="10"/>
      <c r="AO48" s="10"/>
      <c r="AP48" s="10"/>
      <c r="AQ48" s="57">
        <f t="shared" si="0"/>
        <v>185.7</v>
      </c>
      <c r="AR48" s="15"/>
      <c r="AS48" s="15"/>
      <c r="AT48" s="15"/>
      <c r="AU48" s="15"/>
      <c r="AV48" s="15"/>
      <c r="AW48" s="85" t="s">
        <v>202</v>
      </c>
    </row>
    <row r="49" spans="1:49" s="4" customFormat="1" ht="30" x14ac:dyDescent="0.25">
      <c r="A49" s="59" t="s">
        <v>19</v>
      </c>
      <c r="B49" s="92" t="s">
        <v>206</v>
      </c>
      <c r="C49" s="8" t="s">
        <v>2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>
        <v>4.3</v>
      </c>
      <c r="AG49" s="10"/>
      <c r="AH49" s="10">
        <v>6.4</v>
      </c>
      <c r="AI49" s="10"/>
      <c r="AJ49" s="10"/>
      <c r="AK49" s="10">
        <v>4.5999999999999996</v>
      </c>
      <c r="AL49" s="10">
        <v>6.1</v>
      </c>
      <c r="AM49" s="10"/>
      <c r="AN49" s="10"/>
      <c r="AO49" s="10"/>
      <c r="AP49" s="10"/>
      <c r="AQ49" s="57">
        <f t="shared" si="0"/>
        <v>21.4</v>
      </c>
      <c r="AR49" s="15"/>
      <c r="AS49" s="15"/>
      <c r="AT49" s="15"/>
      <c r="AU49" s="15"/>
      <c r="AV49" s="15"/>
      <c r="AW49" s="80"/>
    </row>
    <row r="50" spans="1:49" ht="18" customHeight="1" x14ac:dyDescent="0.25">
      <c r="A50" s="62" t="s">
        <v>30</v>
      </c>
      <c r="B50" s="6" t="s">
        <v>4</v>
      </c>
      <c r="C50" s="35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57"/>
      <c r="AR50" s="15"/>
      <c r="AS50" s="15"/>
      <c r="AT50" s="15"/>
      <c r="AU50" s="15"/>
      <c r="AV50" s="15"/>
      <c r="AW50" s="80"/>
    </row>
    <row r="51" spans="1:49" ht="45.75" customHeight="1" x14ac:dyDescent="0.25">
      <c r="A51" s="36" t="s">
        <v>31</v>
      </c>
      <c r="B51" s="25" t="s">
        <v>168</v>
      </c>
      <c r="C51" s="35" t="s">
        <v>2</v>
      </c>
      <c r="D51" s="10"/>
      <c r="E51" s="10"/>
      <c r="F51" s="10">
        <f>36.4</f>
        <v>36.4</v>
      </c>
      <c r="G51" s="10">
        <v>62.1</v>
      </c>
      <c r="H51" s="10"/>
      <c r="I51" s="10"/>
      <c r="J51" s="10"/>
      <c r="K51" s="10">
        <v>31.64</v>
      </c>
      <c r="L51" s="10">
        <v>83.14</v>
      </c>
      <c r="M51" s="10"/>
      <c r="N51" s="10"/>
      <c r="O51" s="10"/>
      <c r="P51" s="10">
        <v>31.8</v>
      </c>
      <c r="Q51" s="10">
        <v>83.1</v>
      </c>
      <c r="R51" s="10"/>
      <c r="S51" s="10"/>
      <c r="T51" s="10"/>
      <c r="U51" s="10">
        <v>38.1</v>
      </c>
      <c r="V51" s="10">
        <v>63.8</v>
      </c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>
        <v>39.630000000000003</v>
      </c>
      <c r="AM51" s="10">
        <v>31.2</v>
      </c>
      <c r="AO51" s="10"/>
      <c r="AP51" s="10"/>
      <c r="AQ51" s="57">
        <f t="shared" si="0"/>
        <v>500.90999999999997</v>
      </c>
      <c r="AR51" s="15"/>
      <c r="AS51" s="15"/>
      <c r="AT51" s="15"/>
      <c r="AU51" s="15"/>
      <c r="AV51" s="15"/>
      <c r="AW51" s="80"/>
    </row>
    <row r="52" spans="1:49" ht="45.75" customHeight="1" x14ac:dyDescent="0.25">
      <c r="A52" s="59" t="s">
        <v>32</v>
      </c>
      <c r="B52" s="25" t="s">
        <v>167</v>
      </c>
      <c r="C52" s="54" t="s">
        <v>2</v>
      </c>
      <c r="D52" s="10">
        <f>78.4</f>
        <v>78.400000000000006</v>
      </c>
      <c r="E52" s="10">
        <v>91</v>
      </c>
      <c r="F52" s="10"/>
      <c r="G52" s="10"/>
      <c r="H52" s="10">
        <f>54.7</f>
        <v>54.7</v>
      </c>
      <c r="I52" s="10">
        <v>90</v>
      </c>
      <c r="J52" s="10">
        <v>92.8</v>
      </c>
      <c r="K52" s="10"/>
      <c r="L52" s="10"/>
      <c r="M52" s="10">
        <v>53.87</v>
      </c>
      <c r="N52" s="10">
        <v>87</v>
      </c>
      <c r="O52" s="10">
        <v>86.8</v>
      </c>
      <c r="P52" s="10"/>
      <c r="Q52" s="10"/>
      <c r="R52" s="10">
        <v>56.2</v>
      </c>
      <c r="S52" s="10">
        <v>81.97</v>
      </c>
      <c r="T52" s="10">
        <v>85.2</v>
      </c>
      <c r="U52" s="10"/>
      <c r="V52" s="10"/>
      <c r="W52" s="10">
        <v>54.9</v>
      </c>
      <c r="X52" s="10">
        <v>280</v>
      </c>
      <c r="Y52" s="10">
        <v>222</v>
      </c>
      <c r="Z52" s="10">
        <v>61.54</v>
      </c>
      <c r="AA52" s="10">
        <v>65</v>
      </c>
      <c r="AB52" s="10">
        <v>39.299999999999997</v>
      </c>
      <c r="AC52" s="10">
        <v>52.4</v>
      </c>
      <c r="AD52" s="10">
        <v>28.4</v>
      </c>
      <c r="AE52" s="10">
        <v>244.7</v>
      </c>
      <c r="AF52" s="10">
        <v>26.4</v>
      </c>
      <c r="AG52" s="10">
        <v>32.799999999999997</v>
      </c>
      <c r="AH52" s="10">
        <v>36.6</v>
      </c>
      <c r="AI52" s="10">
        <v>267.8</v>
      </c>
      <c r="AJ52" s="10">
        <v>33</v>
      </c>
      <c r="AK52" s="10">
        <v>31.3</v>
      </c>
      <c r="AL52" s="10"/>
      <c r="AM52" s="10"/>
      <c r="AN52" s="10">
        <v>77.8</v>
      </c>
      <c r="AO52" s="10">
        <v>45.3</v>
      </c>
      <c r="AP52" s="10">
        <v>44.6</v>
      </c>
      <c r="AQ52" s="57">
        <f t="shared" si="0"/>
        <v>2501.7800000000007</v>
      </c>
      <c r="AR52" s="15"/>
      <c r="AS52" s="15"/>
      <c r="AT52" s="15"/>
      <c r="AU52" s="15"/>
      <c r="AV52" s="15"/>
      <c r="AW52" s="80"/>
    </row>
    <row r="53" spans="1:49" ht="17.45" customHeight="1" x14ac:dyDescent="0.25">
      <c r="A53" s="59" t="s">
        <v>33</v>
      </c>
      <c r="B53" s="25" t="s">
        <v>6</v>
      </c>
      <c r="C53" s="54" t="s">
        <v>2</v>
      </c>
      <c r="D53" s="10">
        <f>78.4</f>
        <v>78.400000000000006</v>
      </c>
      <c r="E53" s="10">
        <v>91</v>
      </c>
      <c r="F53" s="10">
        <v>15.6</v>
      </c>
      <c r="G53" s="10">
        <v>25.4</v>
      </c>
      <c r="H53" s="10">
        <f>54.7</f>
        <v>54.7</v>
      </c>
      <c r="I53" s="10">
        <v>90</v>
      </c>
      <c r="J53" s="10">
        <v>92.8</v>
      </c>
      <c r="K53" s="10">
        <v>13.8</v>
      </c>
      <c r="L53" s="10">
        <v>33.409999999999997</v>
      </c>
      <c r="M53" s="10">
        <v>53.87</v>
      </c>
      <c r="N53" s="10">
        <v>87</v>
      </c>
      <c r="O53" s="10">
        <v>86.8</v>
      </c>
      <c r="P53" s="10">
        <v>13.83</v>
      </c>
      <c r="Q53" s="10">
        <v>33.409999999999997</v>
      </c>
      <c r="R53" s="10">
        <v>56.2</v>
      </c>
      <c r="S53" s="10">
        <v>81.97</v>
      </c>
      <c r="T53" s="10">
        <v>85.2</v>
      </c>
      <c r="U53" s="10">
        <v>16.25</v>
      </c>
      <c r="V53" s="10">
        <v>26</v>
      </c>
      <c r="W53" s="10">
        <v>54.9</v>
      </c>
      <c r="X53" s="10">
        <v>280</v>
      </c>
      <c r="Y53" s="10">
        <v>222</v>
      </c>
      <c r="Z53" s="10">
        <v>61.54</v>
      </c>
      <c r="AA53" s="10">
        <v>65</v>
      </c>
      <c r="AB53" s="10">
        <v>39.299999999999997</v>
      </c>
      <c r="AC53" s="10">
        <v>52.4</v>
      </c>
      <c r="AD53" s="10">
        <v>28.4</v>
      </c>
      <c r="AE53" s="10">
        <v>244.7</v>
      </c>
      <c r="AF53" s="10">
        <v>26.4</v>
      </c>
      <c r="AG53" s="10">
        <v>32.799999999999997</v>
      </c>
      <c r="AH53" s="10">
        <v>36.6</v>
      </c>
      <c r="AI53" s="10">
        <v>267.8</v>
      </c>
      <c r="AJ53" s="10">
        <v>33</v>
      </c>
      <c r="AK53" s="10">
        <v>31.3</v>
      </c>
      <c r="AL53" s="10">
        <v>16</v>
      </c>
      <c r="AM53" s="10">
        <v>12.74</v>
      </c>
      <c r="AN53" s="10">
        <v>77.8</v>
      </c>
      <c r="AO53" s="10">
        <v>45.3</v>
      </c>
      <c r="AP53" s="10">
        <v>44.6</v>
      </c>
      <c r="AQ53" s="57">
        <f t="shared" si="0"/>
        <v>2708.2200000000007</v>
      </c>
      <c r="AR53" s="15"/>
      <c r="AS53" s="15"/>
      <c r="AT53" s="15"/>
      <c r="AU53" s="15"/>
      <c r="AV53" s="15"/>
      <c r="AW53" s="80"/>
    </row>
    <row r="54" spans="1:49" ht="30.6" customHeight="1" x14ac:dyDescent="0.25">
      <c r="A54" s="59" t="s">
        <v>34</v>
      </c>
      <c r="B54" s="25" t="s">
        <v>170</v>
      </c>
      <c r="C54" s="54" t="s">
        <v>2</v>
      </c>
      <c r="D54" s="10">
        <f>78.4</f>
        <v>78.400000000000006</v>
      </c>
      <c r="E54" s="10">
        <v>91</v>
      </c>
      <c r="F54" s="10"/>
      <c r="G54" s="10"/>
      <c r="H54" s="10">
        <v>54.7</v>
      </c>
      <c r="I54" s="10">
        <v>90</v>
      </c>
      <c r="J54" s="10">
        <v>92.8</v>
      </c>
      <c r="K54" s="10"/>
      <c r="L54" s="10"/>
      <c r="M54" s="10">
        <v>53.87</v>
      </c>
      <c r="N54" s="10">
        <v>87</v>
      </c>
      <c r="O54" s="10">
        <v>86.8</v>
      </c>
      <c r="P54" s="10"/>
      <c r="Q54" s="10"/>
      <c r="R54" s="10">
        <v>56.2</v>
      </c>
      <c r="S54" s="10">
        <v>81.97</v>
      </c>
      <c r="T54" s="10">
        <v>85.2</v>
      </c>
      <c r="U54" s="10"/>
      <c r="V54" s="10"/>
      <c r="W54" s="10">
        <v>54.9</v>
      </c>
      <c r="X54" s="10"/>
      <c r="Y54" s="10"/>
      <c r="Z54" s="10">
        <v>61.54</v>
      </c>
      <c r="AA54" s="10">
        <v>65</v>
      </c>
      <c r="AB54" s="10">
        <v>39.299999999999997</v>
      </c>
      <c r="AC54" s="10">
        <v>52.4</v>
      </c>
      <c r="AD54" s="10"/>
      <c r="AE54" s="87">
        <v>244.7</v>
      </c>
      <c r="AF54" s="87">
        <v>26.4</v>
      </c>
      <c r="AG54" s="87">
        <v>32.799999999999997</v>
      </c>
      <c r="AH54" s="87">
        <v>36.6</v>
      </c>
      <c r="AI54" s="87">
        <v>267.8</v>
      </c>
      <c r="AJ54" s="87">
        <v>33</v>
      </c>
      <c r="AK54" s="87">
        <v>31.3</v>
      </c>
      <c r="AL54" s="87">
        <v>16</v>
      </c>
      <c r="AM54" s="87"/>
      <c r="AN54" s="87">
        <v>77.8</v>
      </c>
      <c r="AO54" s="87">
        <v>45.3</v>
      </c>
      <c r="AP54" s="87">
        <v>44.6</v>
      </c>
      <c r="AQ54" s="88">
        <f t="shared" si="0"/>
        <v>1987.3799999999999</v>
      </c>
      <c r="AR54" s="89"/>
      <c r="AS54" s="15"/>
      <c r="AT54" s="15"/>
      <c r="AU54" s="15"/>
      <c r="AV54" s="15"/>
      <c r="AW54" s="80" t="s">
        <v>208</v>
      </c>
    </row>
    <row r="55" spans="1:49" ht="49.5" customHeight="1" x14ac:dyDescent="0.25">
      <c r="A55" s="59" t="s">
        <v>35</v>
      </c>
      <c r="B55" s="25" t="s">
        <v>169</v>
      </c>
      <c r="C55" s="54" t="s">
        <v>2</v>
      </c>
      <c r="D55" s="10"/>
      <c r="E55" s="10"/>
      <c r="F55" s="10">
        <f>15.6</f>
        <v>15.6</v>
      </c>
      <c r="G55" s="10">
        <v>25.4</v>
      </c>
      <c r="H55" s="10"/>
      <c r="I55" s="10"/>
      <c r="J55" s="10"/>
      <c r="K55" s="10">
        <v>13.8</v>
      </c>
      <c r="L55" s="10">
        <v>33.409999999999997</v>
      </c>
      <c r="M55" s="10"/>
      <c r="N55" s="10"/>
      <c r="O55" s="10"/>
      <c r="P55" s="10">
        <v>13.83</v>
      </c>
      <c r="Q55" s="10">
        <v>33.409999999999997</v>
      </c>
      <c r="R55" s="10"/>
      <c r="S55" s="10"/>
      <c r="T55" s="10"/>
      <c r="U55" s="10">
        <v>16.25</v>
      </c>
      <c r="V55" s="10">
        <v>26</v>
      </c>
      <c r="W55" s="10"/>
      <c r="X55" s="10">
        <v>280</v>
      </c>
      <c r="Y55" s="10">
        <v>222</v>
      </c>
      <c r="Z55" s="10"/>
      <c r="AA55" s="10"/>
      <c r="AB55" s="10"/>
      <c r="AC55" s="10"/>
      <c r="AD55" s="10">
        <v>28.4</v>
      </c>
      <c r="AE55" s="10"/>
      <c r="AF55" s="5"/>
      <c r="AG55" s="10"/>
      <c r="AH55" s="5"/>
      <c r="AI55" s="10"/>
      <c r="AJ55" s="10"/>
      <c r="AK55" s="74"/>
      <c r="AL55" s="74"/>
      <c r="AM55" s="10">
        <v>12.74</v>
      </c>
      <c r="AN55" s="10"/>
      <c r="AO55" s="74"/>
      <c r="AP55" s="74"/>
      <c r="AQ55" s="72">
        <f>D55+E55+F55+G55+H55+I55+J55+K55+L55+M55+N55+O55+P55+Q55+R55+S55+T55+U55+V55+W55+X55+Y55+Z55+AA55+AB55+AC55+AD55+AE55+AF54+AG55+AH54+AI55+AJ55+AK54+AL54+AM55+AN55+AO54+AP54</f>
        <v>921.04</v>
      </c>
      <c r="AR55" s="15"/>
      <c r="AS55" s="15"/>
      <c r="AT55" s="15"/>
      <c r="AU55" s="15"/>
      <c r="AV55" s="15"/>
      <c r="AW55" s="94" t="s">
        <v>216</v>
      </c>
    </row>
    <row r="56" spans="1:49" ht="30.6" customHeight="1" x14ac:dyDescent="0.25">
      <c r="A56" s="59" t="s">
        <v>36</v>
      </c>
      <c r="B56" s="7" t="s">
        <v>149</v>
      </c>
      <c r="C56" s="54" t="s">
        <v>2</v>
      </c>
      <c r="D56" s="10"/>
      <c r="E56" s="10"/>
      <c r="F56" s="10">
        <f>20.8</f>
        <v>20.8</v>
      </c>
      <c r="G56" s="10">
        <v>36.71</v>
      </c>
      <c r="H56" s="10"/>
      <c r="I56" s="10"/>
      <c r="J56" s="10"/>
      <c r="K56" s="10">
        <v>17.899999999999999</v>
      </c>
      <c r="L56" s="10">
        <v>49.73</v>
      </c>
      <c r="M56" s="10"/>
      <c r="N56" s="10"/>
      <c r="O56" s="10"/>
      <c r="P56" s="10">
        <v>17.899999999999999</v>
      </c>
      <c r="Q56" s="10">
        <v>49.73</v>
      </c>
      <c r="R56" s="10"/>
      <c r="S56" s="10"/>
      <c r="T56" s="10"/>
      <c r="U56" s="10">
        <v>21.85</v>
      </c>
      <c r="V56" s="10">
        <v>37.76</v>
      </c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>
        <v>23.63</v>
      </c>
      <c r="AM56" s="10">
        <v>18.46</v>
      </c>
      <c r="AN56" s="10"/>
      <c r="AO56" s="10"/>
      <c r="AP56" s="10"/>
      <c r="AQ56" s="57">
        <f t="shared" si="0"/>
        <v>294.46999999999997</v>
      </c>
      <c r="AR56" s="15"/>
      <c r="AS56" s="15"/>
      <c r="AT56" s="15"/>
      <c r="AU56" s="15"/>
      <c r="AV56" s="15"/>
      <c r="AW56" s="80" t="s">
        <v>211</v>
      </c>
    </row>
    <row r="57" spans="1:49" ht="75.75" customHeight="1" x14ac:dyDescent="0.25">
      <c r="A57" s="59" t="s">
        <v>37</v>
      </c>
      <c r="B57" s="25" t="s">
        <v>207</v>
      </c>
      <c r="C57" s="35" t="s">
        <v>2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>
        <v>24</v>
      </c>
      <c r="AO57" s="10"/>
      <c r="AP57" s="10"/>
      <c r="AQ57" s="57">
        <f t="shared" si="0"/>
        <v>24</v>
      </c>
      <c r="AR57" s="15"/>
      <c r="AS57" s="15"/>
      <c r="AT57" s="15"/>
      <c r="AU57" s="15"/>
      <c r="AV57" s="15"/>
      <c r="AW57" s="80"/>
    </row>
    <row r="58" spans="1:49" ht="26.45" customHeight="1" x14ac:dyDescent="0.25">
      <c r="A58" s="59" t="s">
        <v>38</v>
      </c>
      <c r="B58" s="25" t="s">
        <v>153</v>
      </c>
      <c r="C58" s="35" t="s">
        <v>2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>
        <v>2</v>
      </c>
      <c r="AO58" s="10"/>
      <c r="AP58" s="10"/>
      <c r="AQ58" s="57">
        <f t="shared" si="0"/>
        <v>2</v>
      </c>
      <c r="AR58" s="15"/>
      <c r="AS58" s="15"/>
      <c r="AT58" s="15"/>
      <c r="AU58" s="15"/>
      <c r="AV58" s="15"/>
      <c r="AW58" s="91" t="s">
        <v>210</v>
      </c>
    </row>
    <row r="59" spans="1:49" x14ac:dyDescent="0.25">
      <c r="A59" s="62" t="s">
        <v>39</v>
      </c>
      <c r="B59" s="6" t="s">
        <v>147</v>
      </c>
      <c r="C59" s="35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57"/>
      <c r="AR59" s="15"/>
      <c r="AS59" s="15"/>
      <c r="AT59" s="15"/>
      <c r="AU59" s="15"/>
      <c r="AV59" s="15"/>
      <c r="AW59" s="80"/>
    </row>
    <row r="60" spans="1:49" ht="31.5" customHeight="1" x14ac:dyDescent="0.25">
      <c r="A60" s="36" t="s">
        <v>40</v>
      </c>
      <c r="B60" s="7" t="s">
        <v>213</v>
      </c>
      <c r="C60" s="35" t="s">
        <v>3</v>
      </c>
      <c r="D60" s="10">
        <v>5.8</v>
      </c>
      <c r="E60" s="10"/>
      <c r="F60" s="10"/>
      <c r="G60" s="10"/>
      <c r="H60" s="10">
        <v>12.38</v>
      </c>
      <c r="I60" s="10">
        <v>5.8</v>
      </c>
      <c r="J60" s="10">
        <v>5.8</v>
      </c>
      <c r="K60" s="10"/>
      <c r="L60" s="10"/>
      <c r="M60" s="10">
        <v>5.8</v>
      </c>
      <c r="N60" s="10">
        <v>5.8</v>
      </c>
      <c r="O60" s="10"/>
      <c r="P60" s="10"/>
      <c r="Q60" s="10"/>
      <c r="R60" s="10">
        <v>12.38</v>
      </c>
      <c r="S60" s="10">
        <v>5.8</v>
      </c>
      <c r="T60" s="10"/>
      <c r="U60" s="10"/>
      <c r="V60" s="10"/>
      <c r="W60" s="10">
        <v>5.8</v>
      </c>
      <c r="X60" s="10">
        <f>5.8+5.25+5.25+5.25+5.8+5.8</f>
        <v>33.15</v>
      </c>
      <c r="Y60" s="10">
        <f>5.8+5.25+5.25+5.8+5.8</f>
        <v>27.900000000000002</v>
      </c>
      <c r="Z60" s="10"/>
      <c r="AA60" s="10"/>
      <c r="AB60" s="10"/>
      <c r="AC60" s="10"/>
      <c r="AD60" s="10"/>
      <c r="AE60" s="10"/>
      <c r="AF60" s="10">
        <f>5.25</f>
        <v>5.25</v>
      </c>
      <c r="AG60" s="10"/>
      <c r="AH60" s="10">
        <v>5.25</v>
      </c>
      <c r="AI60" s="10"/>
      <c r="AJ60" s="10"/>
      <c r="AK60" s="10">
        <v>5.25</v>
      </c>
      <c r="AL60" s="10"/>
      <c r="AM60" s="10"/>
      <c r="AN60" s="10"/>
      <c r="AO60" s="10"/>
      <c r="AP60" s="10"/>
      <c r="AQ60" s="57">
        <f t="shared" si="0"/>
        <v>142.16</v>
      </c>
      <c r="AR60" s="15"/>
      <c r="AS60" s="15"/>
      <c r="AT60" s="15"/>
      <c r="AU60" s="15"/>
      <c r="AV60" s="15"/>
      <c r="AW60" s="80"/>
    </row>
    <row r="61" spans="1:49" x14ac:dyDescent="0.25">
      <c r="A61" s="59" t="s">
        <v>41</v>
      </c>
      <c r="B61" s="25" t="s">
        <v>171</v>
      </c>
      <c r="C61" s="79" t="s">
        <v>3</v>
      </c>
      <c r="D61" s="10">
        <v>5.8</v>
      </c>
      <c r="E61" s="10"/>
      <c r="F61" s="10"/>
      <c r="G61" s="10"/>
      <c r="H61" s="10">
        <f>H60</f>
        <v>12.38</v>
      </c>
      <c r="I61" s="10">
        <v>5.8</v>
      </c>
      <c r="J61" s="10">
        <v>5.8</v>
      </c>
      <c r="K61" s="10"/>
      <c r="L61" s="10"/>
      <c r="M61" s="10">
        <v>5.8</v>
      </c>
      <c r="N61" s="10">
        <v>5.8</v>
      </c>
      <c r="O61" s="10"/>
      <c r="P61" s="10"/>
      <c r="Q61" s="10"/>
      <c r="R61" s="10">
        <f>R60</f>
        <v>12.38</v>
      </c>
      <c r="S61" s="10">
        <v>5.8</v>
      </c>
      <c r="T61" s="10"/>
      <c r="U61" s="10"/>
      <c r="V61" s="10"/>
      <c r="W61" s="10">
        <v>5.8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57">
        <f t="shared" si="0"/>
        <v>65.36</v>
      </c>
      <c r="AR61" s="15"/>
      <c r="AS61" s="15"/>
      <c r="AT61" s="15"/>
      <c r="AU61" s="15"/>
      <c r="AV61" s="15"/>
      <c r="AW61" s="80" t="s">
        <v>208</v>
      </c>
    </row>
    <row r="62" spans="1:49" ht="47.25" x14ac:dyDescent="0.25">
      <c r="A62" s="59" t="s">
        <v>42</v>
      </c>
      <c r="B62" s="25" t="s">
        <v>172</v>
      </c>
      <c r="C62" s="79" t="s">
        <v>3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>
        <f>X60</f>
        <v>33.15</v>
      </c>
      <c r="Y62" s="10">
        <f>Y60</f>
        <v>27.900000000000002</v>
      </c>
      <c r="Z62" s="10"/>
      <c r="AA62" s="10"/>
      <c r="AB62" s="10"/>
      <c r="AC62" s="10"/>
      <c r="AD62" s="10"/>
      <c r="AE62" s="10"/>
      <c r="AF62" s="10">
        <v>5.25</v>
      </c>
      <c r="AG62" s="10"/>
      <c r="AH62" s="10">
        <v>5.25</v>
      </c>
      <c r="AI62" s="10"/>
      <c r="AJ62" s="10"/>
      <c r="AK62" s="10">
        <v>5.25</v>
      </c>
      <c r="AL62" s="10"/>
      <c r="AM62" s="10"/>
      <c r="AN62" s="10"/>
      <c r="AO62" s="10"/>
      <c r="AP62" s="10"/>
      <c r="AQ62" s="57">
        <f t="shared" si="0"/>
        <v>76.8</v>
      </c>
      <c r="AR62" s="15"/>
      <c r="AS62" s="15"/>
      <c r="AT62" s="15"/>
      <c r="AU62" s="15"/>
      <c r="AV62" s="15"/>
      <c r="AW62" s="94" t="s">
        <v>216</v>
      </c>
    </row>
    <row r="63" spans="1:49" ht="45.75" customHeight="1" x14ac:dyDescent="0.25">
      <c r="A63" s="59" t="s">
        <v>43</v>
      </c>
      <c r="B63" s="25" t="s">
        <v>212</v>
      </c>
      <c r="C63" s="79" t="s">
        <v>3</v>
      </c>
      <c r="D63" s="10">
        <f>6.23*3+5.18*2</f>
        <v>29.05</v>
      </c>
      <c r="E63" s="10">
        <f>6.23*2+5.18*2</f>
        <v>22.82</v>
      </c>
      <c r="F63" s="10"/>
      <c r="G63" s="10"/>
      <c r="H63" s="10">
        <f>5.18</f>
        <v>5.18</v>
      </c>
      <c r="I63" s="10">
        <f>6.23+5.18</f>
        <v>11.41</v>
      </c>
      <c r="J63" s="10">
        <f>6.23*2+5.18*2</f>
        <v>22.82</v>
      </c>
      <c r="K63" s="10"/>
      <c r="L63" s="10"/>
      <c r="M63" s="10">
        <f>6.23</f>
        <v>6.23</v>
      </c>
      <c r="N63" s="10">
        <f>6.23+5.18</f>
        <v>11.41</v>
      </c>
      <c r="O63" s="10">
        <f>6.23*2+5.18*2</f>
        <v>22.82</v>
      </c>
      <c r="P63" s="10"/>
      <c r="Q63" s="10"/>
      <c r="R63" s="10">
        <f>5.18</f>
        <v>5.18</v>
      </c>
      <c r="S63" s="10">
        <f>6.23*3+5.18</f>
        <v>23.87</v>
      </c>
      <c r="T63" s="10">
        <f>5.18*2+6.23*2</f>
        <v>22.82</v>
      </c>
      <c r="U63" s="10"/>
      <c r="V63" s="10"/>
      <c r="W63" s="10">
        <f>6.23</f>
        <v>6.23</v>
      </c>
      <c r="X63" s="10">
        <f>6.23</f>
        <v>6.23</v>
      </c>
      <c r="Y63" s="10">
        <f>5.18</f>
        <v>5.18</v>
      </c>
      <c r="Z63" s="10">
        <f>6.23*2</f>
        <v>12.46</v>
      </c>
      <c r="AA63" s="10">
        <f>6.23*2+5.18</f>
        <v>17.64</v>
      </c>
      <c r="AB63" s="10">
        <f>6.23</f>
        <v>6.23</v>
      </c>
      <c r="AC63" s="10">
        <f>5.18+6.23</f>
        <v>11.41</v>
      </c>
      <c r="AD63" s="10"/>
      <c r="AE63" s="10">
        <f>13.67*2+5.76</f>
        <v>33.1</v>
      </c>
      <c r="AF63" s="10"/>
      <c r="AG63" s="10"/>
      <c r="AH63" s="10"/>
      <c r="AI63" s="10">
        <f>13.67*2+12.66+5.76</f>
        <v>45.76</v>
      </c>
      <c r="AJ63" s="10">
        <f>5.76</f>
        <v>5.76</v>
      </c>
      <c r="AK63" s="10"/>
      <c r="AL63" s="10"/>
      <c r="AM63" s="10"/>
      <c r="AN63" s="10">
        <f>5.76+6.77</f>
        <v>12.53</v>
      </c>
      <c r="AO63" s="10"/>
      <c r="AP63" s="10"/>
      <c r="AQ63" s="57">
        <f t="shared" si="0"/>
        <v>346.14</v>
      </c>
      <c r="AR63" s="15"/>
      <c r="AS63" s="15"/>
      <c r="AT63" s="15"/>
      <c r="AU63" s="15"/>
      <c r="AV63" s="15"/>
      <c r="AW63" s="80"/>
    </row>
    <row r="64" spans="1:49" ht="30" customHeight="1" x14ac:dyDescent="0.25">
      <c r="A64" s="59" t="s">
        <v>44</v>
      </c>
      <c r="B64" s="25" t="s">
        <v>173</v>
      </c>
      <c r="C64" s="79" t="s">
        <v>3</v>
      </c>
      <c r="D64" s="10">
        <f>D63</f>
        <v>29.05</v>
      </c>
      <c r="E64" s="10">
        <f>E63</f>
        <v>22.82</v>
      </c>
      <c r="F64" s="10"/>
      <c r="G64" s="10"/>
      <c r="H64" s="10">
        <f>H63</f>
        <v>5.18</v>
      </c>
      <c r="I64" s="10">
        <f>I63</f>
        <v>11.41</v>
      </c>
      <c r="J64" s="10">
        <f>J63</f>
        <v>22.82</v>
      </c>
      <c r="K64" s="10"/>
      <c r="L64" s="10"/>
      <c r="M64" s="10">
        <f>M63</f>
        <v>6.23</v>
      </c>
      <c r="N64" s="10">
        <f>N63</f>
        <v>11.41</v>
      </c>
      <c r="O64" s="10">
        <f>O63</f>
        <v>22.82</v>
      </c>
      <c r="P64" s="10"/>
      <c r="Q64" s="10"/>
      <c r="R64" s="10">
        <f>R63</f>
        <v>5.18</v>
      </c>
      <c r="S64" s="10">
        <f>S63</f>
        <v>23.87</v>
      </c>
      <c r="T64" s="10">
        <f>T63</f>
        <v>22.82</v>
      </c>
      <c r="U64" s="10"/>
      <c r="V64" s="10"/>
      <c r="W64" s="10">
        <f>W63</f>
        <v>6.23</v>
      </c>
      <c r="X64" s="10"/>
      <c r="Y64" s="10"/>
      <c r="Z64" s="10">
        <f>Z63</f>
        <v>12.46</v>
      </c>
      <c r="AA64" s="10">
        <f>AA63</f>
        <v>17.64</v>
      </c>
      <c r="AB64" s="10">
        <f>AB63</f>
        <v>6.23</v>
      </c>
      <c r="AC64" s="10">
        <f>AC63</f>
        <v>11.41</v>
      </c>
      <c r="AD64" s="10"/>
      <c r="AE64" s="10">
        <f>AE63</f>
        <v>33.1</v>
      </c>
      <c r="AF64" s="10"/>
      <c r="AG64" s="10"/>
      <c r="AH64" s="10"/>
      <c r="AI64" s="10">
        <f>AI63</f>
        <v>45.76</v>
      </c>
      <c r="AJ64" s="10">
        <f>AJ63</f>
        <v>5.76</v>
      </c>
      <c r="AK64" s="10"/>
      <c r="AL64" s="10"/>
      <c r="AM64" s="10"/>
      <c r="AN64" s="10">
        <f>AN63</f>
        <v>12.53</v>
      </c>
      <c r="AO64" s="10"/>
      <c r="AP64" s="10"/>
      <c r="AQ64" s="57">
        <f t="shared" si="0"/>
        <v>334.72999999999996</v>
      </c>
      <c r="AR64" s="15"/>
      <c r="AS64" s="15"/>
      <c r="AT64" s="15"/>
      <c r="AU64" s="15"/>
      <c r="AV64" s="15"/>
      <c r="AW64" s="80" t="s">
        <v>208</v>
      </c>
    </row>
    <row r="65" spans="1:49" ht="48.75" customHeight="1" x14ac:dyDescent="0.25">
      <c r="A65" s="59" t="s">
        <v>45</v>
      </c>
      <c r="B65" s="25" t="s">
        <v>174</v>
      </c>
      <c r="C65" s="79" t="s">
        <v>3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>
        <f>X63</f>
        <v>6.23</v>
      </c>
      <c r="Y65" s="10">
        <f>Y63</f>
        <v>5.18</v>
      </c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57">
        <f t="shared" si="0"/>
        <v>11.41</v>
      </c>
      <c r="AR65" s="15"/>
      <c r="AS65" s="15"/>
      <c r="AT65" s="15"/>
      <c r="AU65" s="15"/>
      <c r="AV65" s="15"/>
      <c r="AW65" s="94" t="s">
        <v>216</v>
      </c>
    </row>
    <row r="66" spans="1:49" x14ac:dyDescent="0.25">
      <c r="A66" s="62" t="s">
        <v>46</v>
      </c>
      <c r="B66" s="6" t="s">
        <v>86</v>
      </c>
      <c r="C66" s="35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57"/>
      <c r="AR66" s="15"/>
      <c r="AS66" s="15"/>
      <c r="AT66" s="15"/>
      <c r="AU66" s="15"/>
      <c r="AV66" s="15"/>
      <c r="AW66" s="80"/>
    </row>
    <row r="67" spans="1:49" ht="29.25" customHeight="1" x14ac:dyDescent="0.25">
      <c r="A67" s="36" t="s">
        <v>47</v>
      </c>
      <c r="B67" s="25" t="s">
        <v>152</v>
      </c>
      <c r="C67" s="35" t="s">
        <v>2</v>
      </c>
      <c r="D67" s="10"/>
      <c r="E67" s="10"/>
      <c r="F67" s="10">
        <v>7.6</v>
      </c>
      <c r="G67" s="10">
        <v>3.74</v>
      </c>
      <c r="H67" s="10"/>
      <c r="I67" s="10"/>
      <c r="J67" s="10"/>
      <c r="K67" s="10">
        <v>5.9</v>
      </c>
      <c r="L67" s="10">
        <v>10.7</v>
      </c>
      <c r="M67" s="10">
        <v>7.3</v>
      </c>
      <c r="N67" s="10"/>
      <c r="O67" s="10"/>
      <c r="P67" s="10">
        <v>3.4</v>
      </c>
      <c r="Q67" s="10">
        <v>14.2</v>
      </c>
      <c r="R67" s="10"/>
      <c r="S67" s="10"/>
      <c r="T67" s="10"/>
      <c r="U67" s="10">
        <v>4.93</v>
      </c>
      <c r="V67" s="10">
        <v>6.8</v>
      </c>
      <c r="W67" s="10">
        <v>4.42</v>
      </c>
      <c r="X67" s="10"/>
      <c r="Y67" s="10">
        <v>3.8</v>
      </c>
      <c r="Z67" s="10"/>
      <c r="AA67" s="10">
        <v>4.76</v>
      </c>
      <c r="AB67" s="10"/>
      <c r="AC67" s="10">
        <v>4.42</v>
      </c>
      <c r="AD67" s="10"/>
      <c r="AE67" s="10">
        <v>23.9</v>
      </c>
      <c r="AF67" s="10"/>
      <c r="AG67" s="10">
        <v>4.42</v>
      </c>
      <c r="AH67" s="10"/>
      <c r="AI67" s="10"/>
      <c r="AJ67" s="10"/>
      <c r="AK67" s="10"/>
      <c r="AL67" s="10">
        <v>4.5999999999999996</v>
      </c>
      <c r="AM67" s="10">
        <v>3.6</v>
      </c>
      <c r="AN67" s="10"/>
      <c r="AO67" s="10"/>
      <c r="AP67" s="10"/>
      <c r="AQ67" s="57">
        <f t="shared" si="0"/>
        <v>118.49</v>
      </c>
      <c r="AR67" s="15"/>
      <c r="AS67" s="15"/>
      <c r="AT67" s="15"/>
      <c r="AU67" s="15"/>
      <c r="AV67" s="15"/>
      <c r="AW67" s="80"/>
    </row>
    <row r="68" spans="1:49" ht="36" customHeight="1" x14ac:dyDescent="0.25">
      <c r="A68" s="59" t="s">
        <v>48</v>
      </c>
      <c r="B68" s="25" t="s">
        <v>175</v>
      </c>
      <c r="C68" s="35" t="s">
        <v>2</v>
      </c>
      <c r="D68" s="10">
        <f>1.6*5*0.75</f>
        <v>6</v>
      </c>
      <c r="E68" s="10">
        <f>1.3*4*0.75</f>
        <v>3.9000000000000004</v>
      </c>
      <c r="F68" s="10"/>
      <c r="G68" s="10"/>
      <c r="H68" s="10">
        <f>1.6*0.75</f>
        <v>1.2000000000000002</v>
      </c>
      <c r="I68" s="10">
        <f>1.5*2*0.75</f>
        <v>2.25</v>
      </c>
      <c r="J68" s="10">
        <f>1.8*4*0.75</f>
        <v>5.4</v>
      </c>
      <c r="K68" s="10"/>
      <c r="L68" s="10"/>
      <c r="M68" s="10">
        <f>1.4*0.75</f>
        <v>1.0499999999999998</v>
      </c>
      <c r="N68" s="10">
        <f>1.8*2*0.75</f>
        <v>2.7</v>
      </c>
      <c r="O68" s="10">
        <f>1.6*2*0.75+1*0.75+1.2*0.75</f>
        <v>4.0500000000000007</v>
      </c>
      <c r="P68" s="10"/>
      <c r="Q68" s="10"/>
      <c r="R68" s="10">
        <f>1.6*0.75</f>
        <v>1.2000000000000002</v>
      </c>
      <c r="S68" s="10">
        <f>1.4*4*0.75</f>
        <v>4.1999999999999993</v>
      </c>
      <c r="T68" s="10">
        <f>1.1*2*0.75+1.6*2*0.75</f>
        <v>4.0500000000000007</v>
      </c>
      <c r="U68" s="10"/>
      <c r="V68" s="10"/>
      <c r="W68" s="10">
        <f>1.4*0.75</f>
        <v>1.0499999999999998</v>
      </c>
      <c r="X68" s="10">
        <f>1.3*0.75</f>
        <v>0.97500000000000009</v>
      </c>
      <c r="Y68" s="10">
        <f>0.7*0.75</f>
        <v>0.52499999999999991</v>
      </c>
      <c r="Z68" s="10">
        <f>1.7*2*0.75</f>
        <v>2.5499999999999998</v>
      </c>
      <c r="AA68" s="10">
        <f>1.2*0.75+0.7*0.75+1.1*0.75</f>
        <v>2.25</v>
      </c>
      <c r="AB68" s="10">
        <f>1.3*0.75</f>
        <v>0.97500000000000009</v>
      </c>
      <c r="AC68" s="10">
        <f>1.5*0.75+1*0.75</f>
        <v>1.875</v>
      </c>
      <c r="AD68" s="10"/>
      <c r="AE68" s="10">
        <f>1.6*2*0.75+1.4*0.75</f>
        <v>3.45</v>
      </c>
      <c r="AF68" s="10"/>
      <c r="AG68" s="10"/>
      <c r="AH68" s="10"/>
      <c r="AI68" s="10">
        <f>1.2*2*0.75+0.8*2*0.75</f>
        <v>3</v>
      </c>
      <c r="AJ68" s="10">
        <f>0.8*0.75</f>
        <v>0.60000000000000009</v>
      </c>
      <c r="AK68" s="10"/>
      <c r="AL68" s="10"/>
      <c r="AM68" s="10"/>
      <c r="AN68" s="10">
        <f>1.2*0.75+1.7*0.75</f>
        <v>2.1749999999999998</v>
      </c>
      <c r="AO68" s="10"/>
      <c r="AP68" s="10"/>
      <c r="AQ68" s="57">
        <f t="shared" si="0"/>
        <v>55.424999999999997</v>
      </c>
      <c r="AR68" s="15"/>
      <c r="AS68" s="15"/>
      <c r="AT68" s="15"/>
      <c r="AU68" s="15"/>
      <c r="AV68" s="15"/>
      <c r="AW68" s="80"/>
    </row>
    <row r="69" spans="1:49" ht="32.1" customHeight="1" x14ac:dyDescent="0.25">
      <c r="A69" s="75" t="s">
        <v>49</v>
      </c>
      <c r="B69" s="25" t="s">
        <v>176</v>
      </c>
      <c r="C69" s="76" t="s">
        <v>5</v>
      </c>
      <c r="D69" s="10"/>
      <c r="E69" s="10"/>
      <c r="F69" s="10"/>
      <c r="G69" s="10">
        <v>1</v>
      </c>
      <c r="H69" s="10"/>
      <c r="I69" s="10"/>
      <c r="J69" s="10"/>
      <c r="K69" s="10">
        <v>1</v>
      </c>
      <c r="L69" s="10">
        <v>3</v>
      </c>
      <c r="M69" s="10"/>
      <c r="N69" s="10"/>
      <c r="O69" s="10"/>
      <c r="P69" s="10">
        <v>1</v>
      </c>
      <c r="Q69" s="10">
        <v>3</v>
      </c>
      <c r="R69" s="10"/>
      <c r="S69" s="10"/>
      <c r="T69" s="10"/>
      <c r="U69" s="10"/>
      <c r="V69" s="10">
        <v>1</v>
      </c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>
        <v>1</v>
      </c>
      <c r="AM69" s="10">
        <v>1</v>
      </c>
      <c r="AN69" s="10"/>
      <c r="AO69" s="10"/>
      <c r="AP69" s="10"/>
      <c r="AQ69" s="77"/>
      <c r="AR69" s="15"/>
      <c r="AS69" s="15"/>
      <c r="AT69" s="15"/>
      <c r="AU69" s="15"/>
      <c r="AV69" s="15"/>
      <c r="AW69" s="80"/>
    </row>
    <row r="70" spans="1:49" ht="36.950000000000003" customHeight="1" x14ac:dyDescent="0.25">
      <c r="A70" s="75" t="s">
        <v>50</v>
      </c>
      <c r="B70" s="25" t="s">
        <v>177</v>
      </c>
      <c r="C70" s="35" t="s">
        <v>5</v>
      </c>
      <c r="D70" s="10"/>
      <c r="E70" s="10"/>
      <c r="F70" s="10">
        <v>1</v>
      </c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>
        <v>1</v>
      </c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57"/>
      <c r="AR70" s="15"/>
      <c r="AS70" s="15"/>
      <c r="AT70" s="15"/>
      <c r="AU70" s="15"/>
      <c r="AV70" s="15"/>
      <c r="AW70" s="80"/>
    </row>
    <row r="71" spans="1:49" x14ac:dyDescent="0.25">
      <c r="A71" s="64" t="s">
        <v>51</v>
      </c>
      <c r="B71" s="6" t="s">
        <v>159</v>
      </c>
      <c r="C71" s="35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94">
        <f>AQ72+AQ73+AQ74+AQ75</f>
        <v>53</v>
      </c>
      <c r="AR71" s="15"/>
      <c r="AS71" s="15"/>
      <c r="AT71" s="15"/>
      <c r="AU71" s="15"/>
      <c r="AV71" s="15"/>
      <c r="AW71" s="80"/>
    </row>
    <row r="72" spans="1:49" ht="15" customHeight="1" x14ac:dyDescent="0.25">
      <c r="A72" s="36" t="s">
        <v>52</v>
      </c>
      <c r="B72" s="25" t="s">
        <v>154</v>
      </c>
      <c r="C72" s="35" t="s">
        <v>5</v>
      </c>
      <c r="D72" s="10">
        <v>2</v>
      </c>
      <c r="E72" s="10">
        <v>2</v>
      </c>
      <c r="F72" s="10"/>
      <c r="G72" s="10"/>
      <c r="H72" s="10">
        <v>1</v>
      </c>
      <c r="I72" s="10">
        <v>1</v>
      </c>
      <c r="J72" s="10">
        <v>2</v>
      </c>
      <c r="K72" s="10"/>
      <c r="L72" s="10"/>
      <c r="M72" s="10"/>
      <c r="N72" s="10">
        <v>1</v>
      </c>
      <c r="O72" s="10">
        <v>2</v>
      </c>
      <c r="P72" s="10"/>
      <c r="Q72" s="10"/>
      <c r="R72" s="10">
        <v>1</v>
      </c>
      <c r="S72" s="10">
        <v>1</v>
      </c>
      <c r="T72" s="10">
        <v>2</v>
      </c>
      <c r="U72" s="10"/>
      <c r="V72" s="10"/>
      <c r="W72" s="10"/>
      <c r="X72" s="10"/>
      <c r="Y72" s="10">
        <v>1</v>
      </c>
      <c r="Z72" s="10"/>
      <c r="AA72" s="10">
        <v>1</v>
      </c>
      <c r="AB72" s="10"/>
      <c r="AC72" s="10">
        <v>1</v>
      </c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94">
        <f t="shared" si="0"/>
        <v>18</v>
      </c>
      <c r="AR72" s="15"/>
      <c r="AS72" s="15"/>
      <c r="AT72" s="15"/>
      <c r="AU72" s="15"/>
      <c r="AV72" s="15"/>
      <c r="AW72" s="80"/>
    </row>
    <row r="73" spans="1:49" x14ac:dyDescent="0.25">
      <c r="A73" s="36" t="s">
        <v>53</v>
      </c>
      <c r="B73" s="25" t="s">
        <v>155</v>
      </c>
      <c r="C73" s="35" t="s">
        <v>5</v>
      </c>
      <c r="D73" s="10">
        <v>3</v>
      </c>
      <c r="E73" s="10">
        <v>2</v>
      </c>
      <c r="F73" s="10"/>
      <c r="G73" s="10"/>
      <c r="H73" s="10"/>
      <c r="I73" s="10">
        <v>1</v>
      </c>
      <c r="J73" s="10">
        <v>2</v>
      </c>
      <c r="K73" s="10"/>
      <c r="L73" s="10"/>
      <c r="M73" s="10">
        <v>1</v>
      </c>
      <c r="N73" s="10">
        <v>1</v>
      </c>
      <c r="O73" s="10">
        <v>2</v>
      </c>
      <c r="P73" s="10"/>
      <c r="Q73" s="10"/>
      <c r="R73" s="10"/>
      <c r="S73" s="10">
        <v>3</v>
      </c>
      <c r="T73" s="10">
        <v>2</v>
      </c>
      <c r="U73" s="10"/>
      <c r="V73" s="10"/>
      <c r="W73" s="10">
        <v>1</v>
      </c>
      <c r="X73" s="10">
        <v>1</v>
      </c>
      <c r="Y73" s="10"/>
      <c r="Z73" s="10">
        <v>2</v>
      </c>
      <c r="AA73" s="10">
        <v>2</v>
      </c>
      <c r="AB73" s="10">
        <v>1</v>
      </c>
      <c r="AC73" s="10">
        <v>1</v>
      </c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94">
        <f t="shared" si="0"/>
        <v>25</v>
      </c>
      <c r="AR73" s="15"/>
      <c r="AS73" s="15"/>
      <c r="AT73" s="15"/>
      <c r="AU73" s="15"/>
      <c r="AV73" s="15"/>
      <c r="AW73" s="80"/>
    </row>
    <row r="74" spans="1:49" x14ac:dyDescent="0.25">
      <c r="A74" s="36" t="s">
        <v>54</v>
      </c>
      <c r="B74" s="25" t="s">
        <v>156</v>
      </c>
      <c r="C74" s="35" t="s">
        <v>5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>
        <v>2</v>
      </c>
      <c r="AF74" s="10"/>
      <c r="AG74" s="10"/>
      <c r="AH74" s="10"/>
      <c r="AI74" s="10">
        <v>2</v>
      </c>
      <c r="AJ74" s="10"/>
      <c r="AK74" s="10"/>
      <c r="AL74" s="10"/>
      <c r="AM74" s="10"/>
      <c r="AN74" s="10">
        <v>1</v>
      </c>
      <c r="AO74" s="10"/>
      <c r="AP74" s="10"/>
      <c r="AQ74" s="94">
        <f t="shared" si="0"/>
        <v>5</v>
      </c>
      <c r="AR74" s="15"/>
      <c r="AS74" s="15"/>
      <c r="AT74" s="15"/>
      <c r="AU74" s="15"/>
      <c r="AV74" s="15"/>
      <c r="AW74" s="80"/>
    </row>
    <row r="75" spans="1:49" x14ac:dyDescent="0.25">
      <c r="A75" s="36" t="s">
        <v>55</v>
      </c>
      <c r="B75" s="25" t="s">
        <v>157</v>
      </c>
      <c r="C75" s="35" t="s">
        <v>5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>
        <v>1</v>
      </c>
      <c r="AF75" s="10"/>
      <c r="AG75" s="10"/>
      <c r="AH75" s="10"/>
      <c r="AI75" s="10">
        <v>2</v>
      </c>
      <c r="AJ75" s="10">
        <v>1</v>
      </c>
      <c r="AK75" s="10"/>
      <c r="AL75" s="10"/>
      <c r="AM75" s="10"/>
      <c r="AN75" s="10">
        <v>1</v>
      </c>
      <c r="AO75" s="10"/>
      <c r="AP75" s="10"/>
      <c r="AQ75" s="94">
        <f t="shared" si="0"/>
        <v>5</v>
      </c>
      <c r="AR75" s="15"/>
      <c r="AS75" s="15"/>
      <c r="AT75" s="15"/>
      <c r="AU75" s="15"/>
      <c r="AV75" s="15"/>
      <c r="AW75" s="80"/>
    </row>
    <row r="76" spans="1:49" x14ac:dyDescent="0.25">
      <c r="A76" s="64" t="s">
        <v>56</v>
      </c>
      <c r="B76" s="6" t="s">
        <v>158</v>
      </c>
      <c r="C76" s="58" t="s">
        <v>3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94">
        <f>AQ77</f>
        <v>46.3</v>
      </c>
      <c r="AR76" s="15"/>
      <c r="AS76" s="15"/>
      <c r="AT76" s="15"/>
      <c r="AU76" s="15"/>
      <c r="AV76" s="15"/>
      <c r="AW76" s="80"/>
    </row>
    <row r="77" spans="1:49" ht="86.1" customHeight="1" x14ac:dyDescent="0.25">
      <c r="A77" s="59" t="s">
        <v>57</v>
      </c>
      <c r="B77" s="7" t="s">
        <v>161</v>
      </c>
      <c r="C77" s="60" t="s">
        <v>3</v>
      </c>
      <c r="D77" s="10"/>
      <c r="E77" s="10"/>
      <c r="F77" s="10"/>
      <c r="G77" s="10">
        <v>11</v>
      </c>
      <c r="H77" s="10"/>
      <c r="I77" s="10"/>
      <c r="J77" s="10"/>
      <c r="K77" s="10"/>
      <c r="L77" s="10">
        <v>11</v>
      </c>
      <c r="M77" s="10"/>
      <c r="N77" s="10"/>
      <c r="O77" s="10"/>
      <c r="P77" s="10"/>
      <c r="Q77" s="10">
        <v>11</v>
      </c>
      <c r="R77" s="10"/>
      <c r="S77" s="10"/>
      <c r="T77" s="10"/>
      <c r="U77" s="10"/>
      <c r="V77" s="10">
        <v>11.5</v>
      </c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>
        <v>1.8</v>
      </c>
      <c r="AN77" s="10"/>
      <c r="AO77" s="10"/>
      <c r="AP77" s="10"/>
      <c r="AQ77" s="57">
        <f t="shared" ref="AQ77" si="1">D77+E77+F77+G77+H77+I77+J77+K77+L77+M77+N77+O77+P77+Q77+R77+S77+T77+U77+V77+W77+X77+Y77+Z77+AA77+AB77+AC77+AD77+AE77+AF77+AG77+AH77+AI77+AJ77+AK77+AL77+AM77+AN77+AO77+AP77</f>
        <v>46.3</v>
      </c>
      <c r="AR77" s="15"/>
      <c r="AS77" s="15"/>
      <c r="AT77" s="15"/>
      <c r="AU77" s="15"/>
      <c r="AV77" s="15"/>
      <c r="AW77" s="80"/>
    </row>
    <row r="78" spans="1:49" ht="29.1" customHeight="1" x14ac:dyDescent="0.25">
      <c r="A78" s="109" t="s">
        <v>178</v>
      </c>
      <c r="B78" s="109"/>
    </row>
    <row r="79" spans="1:49" x14ac:dyDescent="0.25">
      <c r="A79" s="110" t="s">
        <v>179</v>
      </c>
      <c r="B79" s="110"/>
    </row>
  </sheetData>
  <mergeCells count="23">
    <mergeCell ref="A78:B78"/>
    <mergeCell ref="A79:B79"/>
    <mergeCell ref="AQ4:AR4"/>
    <mergeCell ref="AQ5:AR5"/>
    <mergeCell ref="AQ6:AR6"/>
    <mergeCell ref="A7:A9"/>
    <mergeCell ref="B7:B9"/>
    <mergeCell ref="C7:C9"/>
    <mergeCell ref="AQ7:AQ9"/>
    <mergeCell ref="AR7:AR9"/>
    <mergeCell ref="A1:AW1"/>
    <mergeCell ref="A2:AW2"/>
    <mergeCell ref="A3:AW3"/>
    <mergeCell ref="AW7:AW9"/>
    <mergeCell ref="D8:H8"/>
    <mergeCell ref="I8:M8"/>
    <mergeCell ref="N8:R8"/>
    <mergeCell ref="S8:W8"/>
    <mergeCell ref="X8:AI8"/>
    <mergeCell ref="AS7:AS9"/>
    <mergeCell ref="AT7:AT9"/>
    <mergeCell ref="AU7:AU9"/>
    <mergeCell ref="AV7:AV9"/>
  </mergeCells>
  <phoneticPr fontId="9" type="noConversion"/>
  <pageMargins left="0.70866141732283472" right="0.70866141732283472" top="0.74803149606299213" bottom="0.74803149606299213" header="0.31496062992125984" footer="0.31496062992125984"/>
  <pageSetup paperSize="8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D08B8-236D-410C-B040-DE2795720281}">
  <sheetPr>
    <pageSetUpPr fitToPage="1"/>
  </sheetPr>
  <dimension ref="A1:CM1"/>
  <sheetViews>
    <sheetView view="pageBreakPreview" zoomScale="90" zoomScaleNormal="90" zoomScaleSheetLayoutView="90" workbookViewId="0">
      <pane xSplit="2" ySplit="1" topLeftCell="C2" activePane="bottomRight" state="frozen"/>
      <selection pane="topRight" activeCell="C1" sqref="C1"/>
      <selection pane="bottomLeft" activeCell="A5" sqref="A5"/>
      <selection pane="bottomRight" activeCell="Q31" sqref="Q31"/>
    </sheetView>
  </sheetViews>
  <sheetFormatPr defaultColWidth="9.140625" defaultRowHeight="15.75" x14ac:dyDescent="0.25"/>
  <cols>
    <col min="1" max="1" width="9.140625" style="16"/>
    <col min="2" max="2" width="9.140625" style="2"/>
    <col min="3" max="3" width="9.140625" style="1"/>
    <col min="4" max="84" width="9.140625" style="11"/>
    <col min="85" max="85" width="9.140625" style="22"/>
    <col min="86" max="90" width="9.140625" style="12"/>
    <col min="91" max="91" width="9.140625" style="2"/>
    <col min="92" max="16384" width="9.140625" style="1"/>
  </cols>
  <sheetData/>
  <phoneticPr fontId="9" type="noConversion"/>
  <pageMargins left="0.70866141732283472" right="0.70866141732283472" top="0.74803149606299213" bottom="0.74803149606299213" header="0.31496062992125984" footer="0.31496062992125984"/>
  <pageSetup paperSize="4401" scale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ДОУ 6 кв</vt:lpstr>
      <vt:lpstr>ИТОГО</vt:lpstr>
      <vt:lpstr>'ДОУ 6 кв'!Область_печати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IgnatevaAO</dc:creator>
  <cp:lastModifiedBy>LahtionovDV</cp:lastModifiedBy>
  <cp:lastPrinted>2026-02-27T06:39:22Z</cp:lastPrinted>
  <dcterms:created xsi:type="dcterms:W3CDTF">2015-06-05T18:19:34Z</dcterms:created>
  <dcterms:modified xsi:type="dcterms:W3CDTF">2026-03-04T13:01:20Z</dcterms:modified>
</cp:coreProperties>
</file>